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2" yWindow="32772" windowWidth="23040" windowHeight="8112" tabRatio="624" activeTab="2"/>
  </bookViews>
  <sheets>
    <sheet name="Рішення" sheetId="1" r:id="rId1"/>
    <sheet name="КЗДО станом на 01.09.2023" sheetId="2" r:id="rId2"/>
    <sheet name="школи з 01.09.23р." sheetId="3" r:id="rId3"/>
    <sheet name="БТДЮ з 01.09.2023" sheetId="4" r:id="rId4"/>
    <sheet name="дюсш з 01.09.23" sheetId="5" r:id="rId5"/>
  </sheets>
  <definedNames>
    <definedName name="_xlnm.Print_Area" localSheetId="3">'БТДЮ з 01.09.2023'!$A$1:$W$116</definedName>
    <definedName name="_xlnm.Print_Area" localSheetId="4">'дюсш з 01.09.23'!$A$1:$W$40</definedName>
    <definedName name="_xlnm.Print_Area" localSheetId="1">'КЗДО станом на 01.09.2023'!$A$2:$W$402</definedName>
    <definedName name="_xlnm.Print_Area" localSheetId="2">'школи з 01.09.23р.'!$A$1:$W$642</definedName>
  </definedNames>
  <calcPr fullCalcOnLoad="1"/>
</workbook>
</file>

<file path=xl/sharedStrings.xml><?xml version="1.0" encoding="utf-8"?>
<sst xmlns="http://schemas.openxmlformats.org/spreadsheetml/2006/main" count="1565" uniqueCount="464">
  <si>
    <t>№</t>
  </si>
  <si>
    <t>назва структурного</t>
  </si>
  <si>
    <t>кільк</t>
  </si>
  <si>
    <t>штат</t>
  </si>
  <si>
    <t>посад</t>
  </si>
  <si>
    <t>доплати</t>
  </si>
  <si>
    <t>ВСЬОГО</t>
  </si>
  <si>
    <t>(назва установи,організації)</t>
  </si>
  <si>
    <t>Кухар</t>
  </si>
  <si>
    <t xml:space="preserve">Двірник </t>
  </si>
  <si>
    <t>Сторож</t>
  </si>
  <si>
    <t>Вихователь-методист</t>
  </si>
  <si>
    <t>Комірник</t>
  </si>
  <si>
    <t>Практичний психолог</t>
  </si>
  <si>
    <t>Додаток №2</t>
  </si>
  <si>
    <t>Вчитель - логопед</t>
  </si>
  <si>
    <t>до наказу управління освіти  №__</t>
  </si>
  <si>
    <t>Помічник вихователя для дітей віком до 3-х років</t>
  </si>
  <si>
    <t>підрозділу та посад</t>
  </si>
  <si>
    <t>доплати, грн.</t>
  </si>
  <si>
    <t>за використання в роботі дез.засобів(10%)</t>
  </si>
  <si>
    <t>за роботу в нічний час</t>
  </si>
  <si>
    <t>за вислугу років</t>
  </si>
  <si>
    <t>Кастелянка</t>
  </si>
  <si>
    <t>Машиніст із прання та ремонту спецодягу(білизни)</t>
  </si>
  <si>
    <t>Помічник вихователя для дітей віком від 3-х років</t>
  </si>
  <si>
    <t>за за складність та напруженість-20%</t>
  </si>
  <si>
    <t>Керівник музичний</t>
  </si>
  <si>
    <t>Сестра медична з лікувальної фізкультури</t>
  </si>
  <si>
    <t>Сестра медична з масажу</t>
  </si>
  <si>
    <t>за звання</t>
  </si>
  <si>
    <t>Підвищення посадового окладу, надбавки грн.</t>
  </si>
  <si>
    <t>ЗАТВЕРДЖЕНОНаказ Міністерства фінансів України 28 січня 2002 року № 57(у редакції наказу Міністерства фінансів України від 26 листопада 2012 року № 1220)</t>
  </si>
  <si>
    <t>надбавки</t>
  </si>
  <si>
    <t>посадовий оклад,   грн.</t>
  </si>
  <si>
    <t>тариф ний роз  ряд</t>
  </si>
  <si>
    <t>за роботу в певних типахнавчальних закладів(групах)-20%</t>
  </si>
  <si>
    <t>Директор (завідувач)</t>
  </si>
  <si>
    <t>ЗП по окладам</t>
  </si>
  <si>
    <t>Підвищення по  Постанові  № 695 від 10.07.2019</t>
  </si>
  <si>
    <t>Всього   ЗП на місяць</t>
  </si>
  <si>
    <t xml:space="preserve">За шкідливі умови 12%, </t>
  </si>
  <si>
    <t>14</t>
  </si>
  <si>
    <t>за престижність- 10%</t>
  </si>
  <si>
    <t>Вихователь першої категорії</t>
  </si>
  <si>
    <t>13</t>
  </si>
  <si>
    <t>Вихователь другої категорії</t>
  </si>
  <si>
    <t>Всього   ЗП намісяць</t>
  </si>
  <si>
    <t>кількість дітей</t>
  </si>
  <si>
    <t>за роботу в певних типах навчальних закладів(групах)</t>
  </si>
  <si>
    <t>за престижність-10%</t>
  </si>
  <si>
    <t>за роботу в нічний час 40%</t>
  </si>
  <si>
    <t>Директор(завідувач)</t>
  </si>
  <si>
    <t>11</t>
  </si>
  <si>
    <t>10</t>
  </si>
  <si>
    <t>8тар.розряд</t>
  </si>
  <si>
    <t>Двірник</t>
  </si>
  <si>
    <t>(назва установи, організації)</t>
  </si>
  <si>
    <t>зарплата по окладам</t>
  </si>
  <si>
    <t>Підвищення посадового окладу,грн.</t>
  </si>
  <si>
    <t>Всього  фонд на місяць</t>
  </si>
  <si>
    <t>доплата за кількість дітей, за складність та напрудженість</t>
  </si>
  <si>
    <t>За шкідливі умови 12%</t>
  </si>
  <si>
    <t>за роботу в нічний час -40%</t>
  </si>
  <si>
    <t>9</t>
  </si>
  <si>
    <t>Лікар-офтальмолог</t>
  </si>
  <si>
    <t>12</t>
  </si>
  <si>
    <t>Вихователь</t>
  </si>
  <si>
    <t>Шеф-кухар</t>
  </si>
  <si>
    <t>Підсобний робітник</t>
  </si>
  <si>
    <t>Прибиральн.служ.прим.</t>
  </si>
  <si>
    <t>надбавки, грн.</t>
  </si>
  <si>
    <t>ФЗП  на місяць</t>
  </si>
  <si>
    <t>надбавка за складність та напрудженість</t>
  </si>
  <si>
    <t>за роботу в певних типахнавчальних закладів(групах)</t>
  </si>
  <si>
    <t>за роботу в нічний час       -40 %</t>
  </si>
  <si>
    <t>Вчитель-дефектолог</t>
  </si>
  <si>
    <t>Вихователь І катег.</t>
  </si>
  <si>
    <t xml:space="preserve">Шеф-кухар </t>
  </si>
  <si>
    <t>Прибиральник служ.приміщень</t>
  </si>
  <si>
    <t>Підвищення посадового окладу,надбавки, грн.</t>
  </si>
  <si>
    <t>за престижність - 10%</t>
  </si>
  <si>
    <t>ФЗП на місяць</t>
  </si>
  <si>
    <t>за за складність та напруженість</t>
  </si>
  <si>
    <t>Лікар</t>
  </si>
  <si>
    <t>85%</t>
  </si>
  <si>
    <t xml:space="preserve">Комірник </t>
  </si>
  <si>
    <t>Прибиральник служб.приміщень</t>
  </si>
  <si>
    <t>Прибиральник службових приміщень</t>
  </si>
  <si>
    <t>кількість дітей-3%</t>
  </si>
  <si>
    <t>за складність та напрудженість</t>
  </si>
  <si>
    <t>за вислуга років</t>
  </si>
  <si>
    <t>5</t>
  </si>
  <si>
    <t>Вчитель- дефектолог (тифлопедагог)</t>
  </si>
  <si>
    <t>Комунального спеціальний закладу  дошкільної освіти № 5 «Червона шапочка»  (ясла-садок) Покровської міської ради Дніпропетровської області</t>
  </si>
  <si>
    <t xml:space="preserve">комунального закладу дошкільної освіти  №13 «Малятко»  (ясла-садок)  Покровської міської ради  Дніпропетровської області             </t>
  </si>
  <si>
    <t>комунального закладу дошкільної освіти №16 (ясла-садок)  Покровської міської ради Дніпропетровської області</t>
  </si>
  <si>
    <t>комунального  закладу  дошкільної освіти  №21 "Казка" (ясла-садок) Покровської міської ради Дніпропетровської області</t>
  </si>
  <si>
    <t>комунального закладу дошкільної освіти №22 (ясла-садок) Покровської міської ради Дніпропетровської області</t>
  </si>
  <si>
    <t>Комунального  закладу дошкільної освіти №11 «Сонечко»  (ясла-садок) Покровської міської ради Дніпропетровської області</t>
  </si>
  <si>
    <t>доплата до  мін.зп 6700</t>
  </si>
  <si>
    <t>Доплата до мінімальної 6700</t>
  </si>
  <si>
    <t>Додаток</t>
  </si>
  <si>
    <t>Рішення виконавчого комітету Покровської міської ради Дніпропетровської області</t>
  </si>
  <si>
    <t>від</t>
  </si>
  <si>
    <t>Всього : 10гр. - 118 дітей</t>
  </si>
  <si>
    <t>яслі : 1гр.- 13діт. яслі спец.гр.: 1гр.- 6діт.</t>
  </si>
  <si>
    <t>сад : 3гр. - 54діт.: спец.гр. : 5гр. -45дит.</t>
  </si>
  <si>
    <t>штат у кількості  41,75  штатних одиниць з місячним фондом  заробітної плати триста двадцять вісім тисяч  дев'ятсот тридцять вісім грн. 89коп</t>
  </si>
  <si>
    <t>Всього : 11гр. - 121дитини</t>
  </si>
  <si>
    <t>яслі : 3гр.- 21діт. сад : 2гр. - 23 діт.</t>
  </si>
  <si>
    <t>сад(спец) : 6гр. - 100 діт.( в т.ч. 2грн.логоп.,3гр. Інкл., 1 гр. ППР)</t>
  </si>
  <si>
    <t>Всього 12 груп 135 дитина</t>
  </si>
  <si>
    <t>яслі 3гр.- 17 дит.</t>
  </si>
  <si>
    <t>сад- 3гр. заг. призначення - 44 діт.</t>
  </si>
  <si>
    <t xml:space="preserve"> та 3 гр. інклюзивні - 50 діт.</t>
  </si>
  <si>
    <t>спец.грн. :2 з затух.формами туб  -16 дит., 1гр.логопед.- 8 діт</t>
  </si>
  <si>
    <t>Код за КП</t>
  </si>
  <si>
    <t>1210.1</t>
  </si>
  <si>
    <t>2351.2</t>
  </si>
  <si>
    <t>2455.2</t>
  </si>
  <si>
    <t>2445.2</t>
  </si>
  <si>
    <t>Завідувач господарства</t>
  </si>
  <si>
    <t>Вчитель-логопед</t>
  </si>
  <si>
    <t>2221.2</t>
  </si>
  <si>
    <t>Прибиральник службових              приміщень</t>
  </si>
  <si>
    <t>Вчитель-логопед( Ік)</t>
  </si>
  <si>
    <t>Заступник директора(завідувача)     по господарству</t>
  </si>
  <si>
    <t>Кухонний робітник</t>
  </si>
  <si>
    <t>Сестра медична старша (брат медичний старший)</t>
  </si>
  <si>
    <t xml:space="preserve">Сестра медична (брат медичний) з масажу </t>
  </si>
  <si>
    <t>Сестра медична  (брат медичний) з лікувальної фізкультури</t>
  </si>
  <si>
    <t>Сестра медична (брат медичний)-ортоптист (ка)</t>
  </si>
  <si>
    <t>Сестра медична старша  (брат медичний старший)</t>
  </si>
  <si>
    <t>Сестра медична (брат медичний) з фізіотерапії</t>
  </si>
  <si>
    <t>Інструктор з фізкультури</t>
  </si>
  <si>
    <t xml:space="preserve">Асистент вихователя закладу дошкільної освіти
</t>
  </si>
  <si>
    <t>штат у кількості  39,5  штатних одиниць з місячним фондом  заробітної плати триста тринадцять тисяч чотириста п'ятнадцять  грн. 99 коп</t>
  </si>
  <si>
    <t>2445.3</t>
  </si>
  <si>
    <t>штат у кількості 37,75  штатних одиниць з місячним фондом  заробітної плати триста тридцять шість тисяч  шістсот двадцять три грн. 95 коп</t>
  </si>
  <si>
    <t>Всього : 6гр. - 90 дітей</t>
  </si>
  <si>
    <t>яслі : 2гр.- 29 діт.  дошкільні групи : 4гр. - 61 дітей ( в тому числі 1 інклюзивна 14 дітей)</t>
  </si>
  <si>
    <t>Робітник з комплексного обслуговування й ремонту будинків</t>
  </si>
  <si>
    <t>ФЗП  на 2024р</t>
  </si>
  <si>
    <t>Всього : 6гр. - 44 дитини</t>
  </si>
  <si>
    <t>яслі : 1гр.- 9 діт.  дошкільні групи : 5гр. - 35 дитини</t>
  </si>
  <si>
    <t>яслі : 3гр.- 28 дит.</t>
  </si>
  <si>
    <t>сад :3гр. - 49 дит.</t>
  </si>
  <si>
    <t>Всього : 6 гр. - 77 дітей</t>
  </si>
  <si>
    <t>штат у кількості  36,25  штатних одиниць з місячним фондом  заробітної плати двісті дев'яносто чотири  тисячі  триста двадцять дві грн. 70 коп</t>
  </si>
  <si>
    <t>сад : 5 гр. - 80 дит.</t>
  </si>
  <si>
    <t>яслі 2 гр.- 23діт.</t>
  </si>
  <si>
    <t>7 гр.- 103 дитини</t>
  </si>
  <si>
    <t>6</t>
  </si>
  <si>
    <t>за звання,старшинство</t>
  </si>
  <si>
    <t>штат у кількості  67,25  штатних одиниць з місячним фондом  заробітної плати п'ятсот дев'яносто шість тисячдвісті п'ятдесят вісім грн. 98коп</t>
  </si>
  <si>
    <t>штат у кількості  63,75  штатних одиниць з місячним фондом  заробітної плати п'ятсот вісімдесят вісім тисяч  п'ятсот двадцять грн. 75коп</t>
  </si>
  <si>
    <t>штат у кількості 71,5  штатних одиниць з місячним фондом  заробітної плати п'ятсот  вісімдесят дві тисячі  сімсот дев'яносто грн. 01 коп</t>
  </si>
  <si>
    <t xml:space="preserve">Вихователь закладу дошкільної освіти </t>
  </si>
  <si>
    <t>Вихователь закладу дошкільної освіти (перша категорія)</t>
  </si>
  <si>
    <t>Вихователь закладу дошкільної освіти (вища категорія)</t>
  </si>
  <si>
    <t>ФЗП  на  2024р</t>
  </si>
  <si>
    <t>Вихователь закладу дошкільної освіти ( вища категорія)</t>
  </si>
  <si>
    <t>Вихователь закладу дошкільної освіти ( друга категорія)</t>
  </si>
  <si>
    <t>Штатний розпис на 2023- 2024 навчальний рік   з   01.09 .2023 року</t>
  </si>
  <si>
    <t xml:space="preserve">Штатний розпис на 2023- 2024 навчальний рік   з   01.09 .2023 року </t>
  </si>
  <si>
    <t>комунального закладу дошкільної освіти№ 2 "Дивосвіт"(ясла-садок) Покровської міської ради Дніпропетровської області</t>
  </si>
  <si>
    <t>Ольга СОБЕНІНА</t>
  </si>
  <si>
    <t>Заступник головного бухгалтера</t>
  </si>
  <si>
    <t>Начальник управління</t>
  </si>
  <si>
    <t>Ольга МАТВЄЄВА</t>
  </si>
  <si>
    <t>Додаток 8</t>
  </si>
  <si>
    <t>ЗАТВЕРДЖЕНО</t>
  </si>
  <si>
    <t>Ріішенням виконавчого комітету Покровської міської ради Дніпропетровської області</t>
  </si>
  <si>
    <t>від_________________   №_____________</t>
  </si>
  <si>
    <t>штат у кількості  136,92 штатних одиниць з місячним фондом  заробітної плати один млн.триста тридцять п'ять тисяч шістсот сорок дев'ять грн.10 коп</t>
  </si>
  <si>
    <t>Штатний розпис  на 2023-2024 навчальний рік  з     01.09.2023року</t>
  </si>
  <si>
    <t xml:space="preserve">Комунального закладу        «Ліцей № 2    Покровської міської ради  Дніпропетровської області» </t>
  </si>
  <si>
    <t>22 кл.-578 учнів</t>
  </si>
  <si>
    <t>дошкільне відділення:</t>
  </si>
  <si>
    <t>яслі 1гр.-16 діт.</t>
  </si>
  <si>
    <t>сад 5гр. - 53діт.(в т.ч. 1логопедична гр.  - 5 діт.; 2 інклюзивні гргупи-31 дитини)</t>
  </si>
  <si>
    <t>всього :</t>
  </si>
  <si>
    <t>6гр. -74діт</t>
  </si>
  <si>
    <t>Код ЗКППТР</t>
  </si>
  <si>
    <t>ФЗП  за місяць</t>
  </si>
  <si>
    <t>підрозділу та посада</t>
  </si>
  <si>
    <t>вислуга</t>
  </si>
  <si>
    <t>за престижність -20%,10%,30%</t>
  </si>
  <si>
    <t>книжков.фонд(15%),Звання, надбавка бібліотекарю-15%</t>
  </si>
  <si>
    <t>За роботу в спец гр.(20%)</t>
  </si>
  <si>
    <t>ГПД -5%</t>
  </si>
  <si>
    <t>за перевір. зошитів(10-20%)</t>
  </si>
  <si>
    <t>за класне керівн.(20-25%)</t>
  </si>
  <si>
    <t>інші (зав.кабінетом, позакласна фізкультура, індив. навчання)</t>
  </si>
  <si>
    <t>За шкідливі умови 12%,прибирання туалетів</t>
  </si>
  <si>
    <t>за складність та напруж. - 15%,35%,7%</t>
  </si>
  <si>
    <t xml:space="preserve">Директор </t>
  </si>
  <si>
    <t>Заст дирек з навч.-вихов. роботи</t>
  </si>
  <si>
    <t>95% від оклада дир.</t>
  </si>
  <si>
    <t>Заст дирек з виховної роботи</t>
  </si>
  <si>
    <t xml:space="preserve">Практичний психолог </t>
  </si>
  <si>
    <t>Педагог соціальний</t>
  </si>
  <si>
    <t>асистент вчителя загальноосвітнього навчального закладу з інклюзивним та інтегрованим навчанням</t>
  </si>
  <si>
    <t>Педагог-організатор</t>
  </si>
  <si>
    <t>2359.2</t>
  </si>
  <si>
    <t>Вихователь ( ГПД)</t>
  </si>
  <si>
    <t xml:space="preserve">Вихователь </t>
  </si>
  <si>
    <t>Вчителі</t>
  </si>
  <si>
    <t>всього по субвенції</t>
  </si>
  <si>
    <t>Директор (завідувач) бібліотеки</t>
  </si>
  <si>
    <t>1229.6</t>
  </si>
  <si>
    <t>Сестра медична (брат медичний)</t>
  </si>
  <si>
    <t>Інженер-електронік</t>
  </si>
  <si>
    <t>Заступник директора з господарчої роботи (завідувач господарства)</t>
  </si>
  <si>
    <t>85% від оклада дир.</t>
  </si>
  <si>
    <t>Секретар керівника</t>
  </si>
  <si>
    <t>Лаборант</t>
  </si>
  <si>
    <t>Робітник з комплекс. обслуговування та ремонту будинків</t>
  </si>
  <si>
    <t>Шеф кухар</t>
  </si>
  <si>
    <t xml:space="preserve">Дошкільне відділення комунального закладу        «ліцей №2» </t>
  </si>
  <si>
    <t>Вихователь закладу дошкільної освіти( І кат.)</t>
  </si>
  <si>
    <t>Вихователь ІІ категорії</t>
  </si>
  <si>
    <t>Вихователь закладу дошкільної освіти</t>
  </si>
  <si>
    <t xml:space="preserve">Асистент вихователя </t>
  </si>
  <si>
    <t>Завідувач господарством</t>
  </si>
  <si>
    <t>Прибиральн.служ.приміщ.</t>
  </si>
  <si>
    <t>Учитель дефектолог</t>
  </si>
  <si>
    <t>Логопед</t>
  </si>
  <si>
    <t xml:space="preserve">Позашкільне відділення комунального закладу        «Навчально-виховне об’єднання (середня школа І-ІІІ ступенів – дошкільний навчальний заклад-позашкільний навчальний заклад)                        м.Покров Дніпропетровської області» </t>
  </si>
  <si>
    <t>Методист</t>
  </si>
  <si>
    <t>Керівник гуртка</t>
  </si>
  <si>
    <t>Опалювач(сезонний)</t>
  </si>
  <si>
    <t>всього</t>
  </si>
  <si>
    <t xml:space="preserve">                Заступник головного бухгалтера</t>
  </si>
  <si>
    <t>Додаток  9</t>
  </si>
  <si>
    <t>штат у кількості 52,89  штатних одиниць з місячним фондом  заробітної плати п'ятсот двадцять дві тисячі п'ятсот дев'яносто чотири грн.09коп</t>
  </si>
  <si>
    <t>Комунального закладу  «Ліцей № 3   Покровської міської ради Дніпропетровської області»</t>
  </si>
  <si>
    <t>11класів - 270 учів</t>
  </si>
  <si>
    <t>ФЗП за місяць</t>
  </si>
  <si>
    <t xml:space="preserve">за престижність-20%,30% </t>
  </si>
  <si>
    <t xml:space="preserve">   книж.фонд-10%,надбавка - 15%</t>
  </si>
  <si>
    <t xml:space="preserve">        за ліцей</t>
  </si>
  <si>
    <t>інші</t>
  </si>
  <si>
    <t>За шкідливі умови 12%,</t>
  </si>
  <si>
    <t>Директор ліцею</t>
  </si>
  <si>
    <t>Заступник директора з навч.-вихов.роботи</t>
  </si>
  <si>
    <t>Вихователь ГПД</t>
  </si>
  <si>
    <t>Всього  по субвенції</t>
  </si>
  <si>
    <t>Завідувач бібліотеки</t>
  </si>
  <si>
    <t>Прибиральник служб..приміщень</t>
  </si>
  <si>
    <t>Додаток  10</t>
  </si>
  <si>
    <t>45,39 штатних одиниць з місячним фондом  заробітної плати чотириста сорок три  тисячі дев'ятсот п'ятдесят вісім грн.15 коп</t>
  </si>
  <si>
    <t>Комунального закладу «Гімназія № 4 Покровської міської ради  Дніпропетровської області»</t>
  </si>
  <si>
    <t>9 кл. - 235 учні</t>
  </si>
  <si>
    <t>назва структурного підрозділу та посад</t>
  </si>
  <si>
    <t>доплата до мін. 6700</t>
  </si>
  <si>
    <t>ФЗП з а місяць</t>
  </si>
  <si>
    <t>за престижність-20% ,15%</t>
  </si>
  <si>
    <t xml:space="preserve"> за зав.бібл.книжк.ф.-10%,надбавка - 15%</t>
  </si>
  <si>
    <t>за перевір. зошитів(10-15%)</t>
  </si>
  <si>
    <t>за складність та напруж. - 15%,20,35%*7%</t>
  </si>
  <si>
    <t>Директор школи</t>
  </si>
  <si>
    <t>Заступник дирек з навч.-вих.роботи</t>
  </si>
  <si>
    <t>Вихователь (ГПД)</t>
  </si>
  <si>
    <t>Всього по субвенції</t>
  </si>
  <si>
    <t>Провідний бібліотекар</t>
  </si>
  <si>
    <t>2432.2</t>
  </si>
  <si>
    <t xml:space="preserve">Додаток </t>
  </si>
  <si>
    <t>штат у кількості 144,5 штатних одиниць з місячним фондом  заробітної плати один млн. триста п'ятдесят сім тис. шістсот двадцять чотири грн.53 коп</t>
  </si>
  <si>
    <t xml:space="preserve">Комунального закладу « Ліцей № 5 Покровської міської ради Дніпропетровської області"                                  </t>
  </si>
  <si>
    <t>22 кл - 624 учня</t>
  </si>
  <si>
    <t>посадо-вий оклад,   грн.</t>
  </si>
  <si>
    <t>доплата до  мін.зп  6700</t>
  </si>
  <si>
    <t xml:space="preserve">за престижність-20% </t>
  </si>
  <si>
    <t xml:space="preserve"> за книжковий фонд -10%,доплата бібліотекарю -15%</t>
  </si>
  <si>
    <t>звання,спец.клас</t>
  </si>
  <si>
    <t>інші (зав.кабінетом, позакласна фізкультура, )</t>
  </si>
  <si>
    <t>за складність та напруж. - 15%,20,35%*7%,</t>
  </si>
  <si>
    <t>Заступник дирек. з навч.-виховної роботи</t>
  </si>
  <si>
    <t>95%</t>
  </si>
  <si>
    <t>Заступник директора</t>
  </si>
  <si>
    <t>Заступник директора з виховної роботи</t>
  </si>
  <si>
    <t>Заступник директора з господарської роботи</t>
  </si>
  <si>
    <t>2144.2</t>
  </si>
  <si>
    <t>Гардеробник(сезонний)</t>
  </si>
  <si>
    <t>ВСЬОГО по сторінкі</t>
  </si>
  <si>
    <t>Продовження додатку №11</t>
  </si>
  <si>
    <r>
      <t xml:space="preserve">Комунальний заклад « Ліцей № 5"м. Покров Дніпропетровської області» </t>
    </r>
    <r>
      <rPr>
        <b/>
        <i/>
        <u val="single"/>
        <sz val="18"/>
        <rFont val="Times New Roman"/>
        <family val="1"/>
      </rPr>
      <t>дошкільне   відділення</t>
    </r>
    <r>
      <rPr>
        <b/>
        <sz val="13"/>
        <rFont val="Times New Roman"/>
        <family val="1"/>
      </rPr>
      <t xml:space="preserve">
</t>
    </r>
  </si>
  <si>
    <t>яслі 2гр. - 16 діт.</t>
  </si>
  <si>
    <t>сад 7гр. -80діт</t>
  </si>
  <si>
    <t>всього 9 гр.-96 діт</t>
  </si>
  <si>
    <t>ФЗП на 2024 рік</t>
  </si>
  <si>
    <t xml:space="preserve">за престижність-10% </t>
  </si>
  <si>
    <t xml:space="preserve"> за книжковий фонд</t>
  </si>
  <si>
    <t>звання,спец.гр.</t>
  </si>
  <si>
    <t>дошкільне відділення</t>
  </si>
  <si>
    <t xml:space="preserve">Сестра медична старша (брат медичний старший) </t>
  </si>
  <si>
    <t>Вихователь закладу дошкільної освіти ( І категорія)</t>
  </si>
  <si>
    <t>Вихователь закладу дошкільної освіти (ІІ категорія)</t>
  </si>
  <si>
    <t>Пом.вихователя для дітей віком від 3-х р.</t>
  </si>
  <si>
    <t>Пом.вихователя для дітей віком до 3-х років</t>
  </si>
  <si>
    <t>Робітник з комплексного обсл. та ремонту будинків</t>
  </si>
  <si>
    <t xml:space="preserve">Машиніст із прання та ремонту спецодягу(б) </t>
  </si>
  <si>
    <t>Прибиральник служб. приміщень</t>
  </si>
  <si>
    <t>ВСЬОГО по сторінці</t>
  </si>
  <si>
    <t>Всього по закладу</t>
  </si>
  <si>
    <t>Додаток  12</t>
  </si>
  <si>
    <t>штат у кількості  87,88 штатних одиниць з місячним фондом  заробітної плати дев'ятсот двадцять одна тис. п'ятсот шістдесят шість грн.57 коп</t>
  </si>
  <si>
    <t>Комунального закладу «Ліцей № 6 Покровської міської ради Дніпропетровської області»</t>
  </si>
  <si>
    <t>21кл.   553 учня</t>
  </si>
  <si>
    <t>за престижність -20 %,10%,30%</t>
  </si>
  <si>
    <t>робота в спец кл.-25%,7%,звання</t>
  </si>
  <si>
    <t>книжковий фонд-15%,доплата бібліот.-15%</t>
  </si>
  <si>
    <t>95% від ок. Дир.</t>
  </si>
  <si>
    <t>Заступник дирек. з навч.-виховної  роботи</t>
  </si>
  <si>
    <t>Заступник дирек. з виховної роботи</t>
  </si>
  <si>
    <t>Вчитель- реабілітолог</t>
  </si>
  <si>
    <t>5265/8;       5699/4</t>
  </si>
  <si>
    <t>10;11</t>
  </si>
  <si>
    <t xml:space="preserve">Додаток  </t>
  </si>
  <si>
    <t>штат у кількості  144,55 штатних одиниць з місячним фондом  заробітної плати один млн чотириста сорок дві тисячі шістсот дев'яносто вісім грн.89 коп</t>
  </si>
  <si>
    <t xml:space="preserve">               Комунального закладу «Ліцей № 8 Покровської міської ради Дніпропетровської області»
</t>
  </si>
  <si>
    <t>26кл. 694   учнів</t>
  </si>
  <si>
    <t>6 гр.-   110 дітей</t>
  </si>
  <si>
    <t>яслі 2гр. 29 діт.</t>
  </si>
  <si>
    <t>сад 2 гр.  41 діт., 2 інкл.гр.-40 дітей</t>
  </si>
  <si>
    <t>за престижність -20%,30%,10%</t>
  </si>
  <si>
    <t xml:space="preserve"> за книжковий фонд, спец класи</t>
  </si>
  <si>
    <t>За звання , Старша медс.</t>
  </si>
  <si>
    <t>Заступник дирек. виховної  роботи</t>
  </si>
  <si>
    <t>95% від ок.дир.</t>
  </si>
  <si>
    <t>Робітник з комплекс.обслуговування та ремонту будинків</t>
  </si>
  <si>
    <t>Дошкільне відділення  Комунального закладу «Ліцей № 8 Покровської міської ради Дніпропетровської області»</t>
  </si>
  <si>
    <t>Вихователь І категорія</t>
  </si>
  <si>
    <t>Асистент вихователя</t>
  </si>
  <si>
    <t xml:space="preserve">Додаток  14 </t>
  </si>
  <si>
    <t>штат у кількості 96,08 штатних одиниць з місячним фондом  заробітної плати один млн. шістдесят сім тисяч вісімсот тридцять дев'ять грн.48 коп</t>
  </si>
  <si>
    <t>Комунального закладу «Ліцей  № 9   Покровської міської ради Дніпропетровської області»</t>
  </si>
  <si>
    <t xml:space="preserve">                          (назва установи,організації)</t>
  </si>
  <si>
    <t>23кл. 505 учнів</t>
  </si>
  <si>
    <t xml:space="preserve">в т.ч. 2спец.кл.-22 діт. 2кл.реабілітац. 16 </t>
  </si>
  <si>
    <t>за престижність -20%,30%</t>
  </si>
  <si>
    <t>книжковий фонд-15%,зав. Бібл. -15%</t>
  </si>
  <si>
    <t>За спец класи 25%, 20%</t>
  </si>
  <si>
    <t>ГПД -5%, звання -10%</t>
  </si>
  <si>
    <t>інші (зав.кабінетом, позакласна фізкультура)</t>
  </si>
  <si>
    <t xml:space="preserve"> </t>
  </si>
  <si>
    <t>Заступник дирек з навч.-виховної роботи</t>
  </si>
  <si>
    <t>95% від ок.д.</t>
  </si>
  <si>
    <t>Заступник дирек з виховної роботи</t>
  </si>
  <si>
    <t>13, 11</t>
  </si>
  <si>
    <t>Вихователь (ГПД реабілітац.класу)</t>
  </si>
  <si>
    <t>10,11</t>
  </si>
  <si>
    <t>Вихователь (вихователь реабілітаціонного класу)</t>
  </si>
  <si>
    <t>штат у кількості  81,05  штатних одиниць з місячним фондом  заробітної плати сімсот сорок шість тисяч  сімсот сорок шість грн. 38 коп</t>
  </si>
  <si>
    <t xml:space="preserve">               Комунального закладу «Шолоховський ліцей Покровської міської ради Дніпропетровської області»
</t>
  </si>
  <si>
    <t>12 кл -269 учнів</t>
  </si>
  <si>
    <t>2гр.-43 дит  1яслі - 19 діт, 1 сад 24 дитини</t>
  </si>
  <si>
    <t>інші (зав.кабінетом, позакласна фізкультура, індив. Навчання,25% водіям)</t>
  </si>
  <si>
    <t xml:space="preserve">Педагог соціальний </t>
  </si>
  <si>
    <t>11;14</t>
  </si>
  <si>
    <t>Водій шкільного автобусу</t>
  </si>
  <si>
    <t>Дошкільне відділення  Комунального закладу «Шолоховський ліцей Покровської міської ради Дніпропетровської області»</t>
  </si>
  <si>
    <t>Музичний керівник</t>
  </si>
  <si>
    <t>Вихователь закладу дошкільної освіти ( ІІ категорія)</t>
  </si>
  <si>
    <t>Завідуючий господарства</t>
  </si>
  <si>
    <t>Робітник з комплексн. обслугов. та ремонту будинків</t>
  </si>
  <si>
    <t>Каштелян</t>
  </si>
  <si>
    <t>Оператор котельні</t>
  </si>
  <si>
    <t>Додаток№21</t>
  </si>
  <si>
    <t>до наказу управління освіти №32 від 28.01.13р.</t>
  </si>
  <si>
    <t>штат у кількості  8,0штатних одиниць</t>
  </si>
  <si>
    <t>Штатний розпис з 01.01.2013</t>
  </si>
  <si>
    <t>з місячним фондом заробітної плати 11497,40 грн.</t>
  </si>
  <si>
    <t>Загальноосвітня школа інтернат</t>
  </si>
  <si>
    <t>посадовий оклад,грн.</t>
  </si>
  <si>
    <t>ФНЗ</t>
  </si>
  <si>
    <t xml:space="preserve">вислуга, </t>
  </si>
  <si>
    <t>за складність та напрудж.12%</t>
  </si>
  <si>
    <t>Надбавка педагогам за престижність(постанова № 373)-20%;50% - бібл.(постанова №1073)</t>
  </si>
  <si>
    <t>спецклас.,книж.фонд</t>
  </si>
  <si>
    <t>за роботу в певних типахнавчальних закладів(групах)-10%</t>
  </si>
  <si>
    <t>За складність та напруженість15%</t>
  </si>
  <si>
    <t>на</t>
  </si>
  <si>
    <t>місяць</t>
  </si>
  <si>
    <t>13тар.розряд</t>
  </si>
  <si>
    <t>95% від оклада директора</t>
  </si>
  <si>
    <t>9тар.розряд</t>
  </si>
  <si>
    <t>роботи</t>
  </si>
  <si>
    <t>8,9,10,11розряди</t>
  </si>
  <si>
    <t>10тар.розряд</t>
  </si>
  <si>
    <t>6тар.розряд</t>
  </si>
  <si>
    <t>5тар.розряд</t>
  </si>
  <si>
    <t>4тар.розряд</t>
  </si>
  <si>
    <t>1тар.розряд</t>
  </si>
  <si>
    <t>2тар.розряд</t>
  </si>
  <si>
    <t>Робітник з комплекс.обслуговування та ремонту будівель</t>
  </si>
  <si>
    <t>Прибиральник.служб.     приміщень</t>
  </si>
  <si>
    <t>двірник</t>
  </si>
  <si>
    <t>Начальник управління освіти                                                Г.П.Рубаха</t>
  </si>
  <si>
    <t>Виконавець: І.І.Челнокова 4-31-52</t>
  </si>
  <si>
    <t>штат у кількості  39,53  штатних одиниць з місячним фондом  заробітної плати триста п'ятнадцять тисяч  двадцять шість  грн. 81 коп</t>
  </si>
  <si>
    <t>Штатний розпис у кількості 39,53 ставок з місячним фондом триста шістнадцять тис.шістсот дев'ять грн. 95 коп</t>
  </si>
  <si>
    <t>Штатний розпис на 2023-2024 навчальний рік  з 01.09.2023 року</t>
  </si>
  <si>
    <t>комунального закладу позашкільної освіти "Будинок творчості дітей та юнацтва" Покровської міської ради Дніпропетровської області</t>
  </si>
  <si>
    <t>905 учнів  / 60груп</t>
  </si>
  <si>
    <t>Посада</t>
  </si>
  <si>
    <t>Підвищення за педагогічне звання</t>
  </si>
  <si>
    <t>За складність та напруженість до 50%(нак №557)</t>
  </si>
  <si>
    <t xml:space="preserve">   за престижність-10%</t>
  </si>
  <si>
    <t>премія</t>
  </si>
  <si>
    <t>за роботу в нічний час- 40%</t>
  </si>
  <si>
    <t>Директор</t>
  </si>
  <si>
    <t>Заступник директора з навчально- вихов.роботи</t>
  </si>
  <si>
    <t>95% від окладу директора</t>
  </si>
  <si>
    <t>Методист(Завідувач філії)</t>
  </si>
  <si>
    <t>Керівники гуртків</t>
  </si>
  <si>
    <t>Всього по тарифікації</t>
  </si>
  <si>
    <t>Інженер-програміст</t>
  </si>
  <si>
    <t>2132.2</t>
  </si>
  <si>
    <t>Заступник директора з адміністративно-господарчої частини</t>
  </si>
  <si>
    <t>85% від 16 тар.розряду</t>
  </si>
  <si>
    <t>Прибиральник службових   приміщень</t>
  </si>
  <si>
    <t>Освітлювач</t>
  </si>
  <si>
    <t>Машиніст сцени</t>
  </si>
  <si>
    <t>ОльгаМАТВЄЄВА</t>
  </si>
  <si>
    <t xml:space="preserve">                                             Заступник головного бухгалтера</t>
  </si>
  <si>
    <t>штат у кількості  43,5  штатних одиниць з місячним фондом  заробітної плати триста вісімдесят дев'ять тисяча  сімсот сімдесят шість  грн. 74 коп</t>
  </si>
  <si>
    <t>Штатний розпис   на 2023-2024 навчальний рік з 01.09.2023р.</t>
  </si>
  <si>
    <t>комунального позашкільного навчального закладу "Дитячо-юнацька спортивна школа ім.Дідіка м.Покров Дніпропетровської області"</t>
  </si>
  <si>
    <t>47груп - 670учні</t>
  </si>
  <si>
    <t>додаткові види оплати</t>
  </si>
  <si>
    <t>Зарплата по окладу</t>
  </si>
  <si>
    <t xml:space="preserve">підвищення згідно Постанови КМУ № 755 від 14.08.2019р. </t>
  </si>
  <si>
    <t>За складність та напрудженість -15%,50%</t>
  </si>
  <si>
    <t>доплата до  мін.зп   6700</t>
  </si>
  <si>
    <t>ФЗП</t>
  </si>
  <si>
    <t>Премія,15%</t>
  </si>
  <si>
    <t>на 2024</t>
  </si>
  <si>
    <t>рік</t>
  </si>
  <si>
    <t>грн.</t>
  </si>
  <si>
    <t>Директор школи (ДЮСШ)</t>
  </si>
  <si>
    <t xml:space="preserve">Заступник директора з навчально-тренувальної роботи </t>
  </si>
  <si>
    <t>85% від оклада директора</t>
  </si>
  <si>
    <t>Акомпоніатор</t>
  </si>
  <si>
    <t>2453.2</t>
  </si>
  <si>
    <t>Тренери</t>
  </si>
  <si>
    <t>Заступник директора з адміністративно - господарчої роботи</t>
  </si>
  <si>
    <t>з.пл МОП</t>
  </si>
  <si>
    <t xml:space="preserve">Секретар керівника </t>
  </si>
  <si>
    <t>з плата</t>
  </si>
  <si>
    <t>тариф</t>
  </si>
  <si>
    <t>педаг</t>
  </si>
  <si>
    <t>спец</t>
  </si>
  <si>
    <t>моп</t>
  </si>
  <si>
    <t>Всього по штатному</t>
  </si>
  <si>
    <t>Всього з тариф.</t>
  </si>
  <si>
    <t>бт</t>
  </si>
  <si>
    <t>метод</t>
  </si>
  <si>
    <t>ЦБ</t>
  </si>
  <si>
    <t>госп.гр</t>
  </si>
  <si>
    <t>цех.х</t>
  </si>
  <si>
    <t>ДЮСШ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</si>
</sst>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0.00_ ;[Red]\-0.00\ 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</numFmts>
  <fonts count="1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 Unicode MS"/>
      <family val="2"/>
    </font>
    <font>
      <sz val="7"/>
      <name val="Arial Unicode MS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u val="single"/>
      <sz val="13"/>
      <name val="Times New Roman"/>
      <family val="1"/>
    </font>
    <font>
      <b/>
      <sz val="2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8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30"/>
      <name val="Times New Roman"/>
      <family val="1"/>
    </font>
    <font>
      <u val="single"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Arial Unicode MS"/>
      <family val="2"/>
    </font>
    <font>
      <sz val="10"/>
      <color indexed="10"/>
      <name val="Arial Cyr"/>
      <family val="0"/>
    </font>
    <font>
      <b/>
      <i/>
      <sz val="10"/>
      <color indexed="10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8"/>
      <color rgb="FFFF0000"/>
      <name val="Times New Roman"/>
      <family val="1"/>
    </font>
    <font>
      <sz val="16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70C0"/>
      <name val="Times New Roman"/>
      <family val="1"/>
    </font>
    <font>
      <u val="single"/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i/>
      <sz val="10"/>
      <color rgb="FFFF0000"/>
      <name val="Calibri"/>
      <family val="2"/>
    </font>
    <font>
      <b/>
      <sz val="9"/>
      <color rgb="FFFF0000"/>
      <name val="Arial Unicode MS"/>
      <family val="2"/>
    </font>
    <font>
      <sz val="8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11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6" fillId="0" borderId="0" xfId="0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vertical="center" wrapText="1"/>
    </xf>
    <xf numFmtId="0" fontId="98" fillId="0" borderId="0" xfId="0" applyFont="1" applyFill="1" applyAlignment="1">
      <alignment vertical="center" wrapText="1"/>
    </xf>
    <xf numFmtId="0" fontId="98" fillId="0" borderId="0" xfId="0" applyFont="1" applyFill="1" applyAlignment="1">
      <alignment/>
    </xf>
    <xf numFmtId="0" fontId="98" fillId="0" borderId="0" xfId="0" applyFont="1" applyFill="1" applyAlignment="1">
      <alignment/>
    </xf>
    <xf numFmtId="2" fontId="98" fillId="0" borderId="0" xfId="0" applyNumberFormat="1" applyFont="1" applyFill="1" applyAlignment="1">
      <alignment/>
    </xf>
    <xf numFmtId="0" fontId="97" fillId="0" borderId="10" xfId="0" applyFont="1" applyFill="1" applyBorder="1" applyAlignment="1">
      <alignment/>
    </xf>
    <xf numFmtId="1" fontId="97" fillId="0" borderId="10" xfId="0" applyNumberFormat="1" applyFont="1" applyFill="1" applyBorder="1" applyAlignment="1">
      <alignment horizontal="center"/>
    </xf>
    <xf numFmtId="1" fontId="99" fillId="0" borderId="11" xfId="0" applyNumberFormat="1" applyFont="1" applyFill="1" applyBorder="1" applyAlignment="1">
      <alignment horizontal="center" vertical="center"/>
    </xf>
    <xf numFmtId="2" fontId="99" fillId="0" borderId="11" xfId="0" applyNumberFormat="1" applyFont="1" applyFill="1" applyBorder="1" applyAlignment="1">
      <alignment horizontal="center" vertical="center"/>
    </xf>
    <xf numFmtId="2" fontId="97" fillId="0" borderId="11" xfId="0" applyNumberFormat="1" applyFont="1" applyFill="1" applyBorder="1" applyAlignment="1">
      <alignment/>
    </xf>
    <xf numFmtId="2" fontId="97" fillId="0" borderId="10" xfId="0" applyNumberFormat="1" applyFont="1" applyFill="1" applyBorder="1" applyAlignment="1">
      <alignment/>
    </xf>
    <xf numFmtId="206" fontId="97" fillId="0" borderId="11" xfId="0" applyNumberFormat="1" applyFont="1" applyFill="1" applyBorder="1" applyAlignment="1">
      <alignment/>
    </xf>
    <xf numFmtId="2" fontId="97" fillId="0" borderId="11" xfId="0" applyNumberFormat="1" applyFont="1" applyFill="1" applyBorder="1" applyAlignment="1">
      <alignment/>
    </xf>
    <xf numFmtId="1" fontId="97" fillId="0" borderId="11" xfId="0" applyNumberFormat="1" applyFont="1" applyFill="1" applyBorder="1" applyAlignment="1">
      <alignment horizontal="center"/>
    </xf>
    <xf numFmtId="0" fontId="97" fillId="0" borderId="10" xfId="0" applyFont="1" applyFill="1" applyBorder="1" applyAlignment="1">
      <alignment horizontal="justify" vertical="center"/>
    </xf>
    <xf numFmtId="49" fontId="99" fillId="0" borderId="11" xfId="0" applyNumberFormat="1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/>
    </xf>
    <xf numFmtId="1" fontId="97" fillId="0" borderId="11" xfId="0" applyNumberFormat="1" applyFont="1" applyFill="1" applyBorder="1" applyAlignment="1">
      <alignment horizontal="center" vertical="center"/>
    </xf>
    <xf numFmtId="2" fontId="97" fillId="0" borderId="11" xfId="0" applyNumberFormat="1" applyFont="1" applyFill="1" applyBorder="1" applyAlignment="1">
      <alignment horizontal="center" vertical="center"/>
    </xf>
    <xf numFmtId="2" fontId="97" fillId="0" borderId="10" xfId="0" applyNumberFormat="1" applyFont="1" applyFill="1" applyBorder="1" applyAlignment="1">
      <alignment/>
    </xf>
    <xf numFmtId="2" fontId="97" fillId="0" borderId="0" xfId="0" applyNumberFormat="1" applyFont="1" applyFill="1" applyAlignment="1">
      <alignment/>
    </xf>
    <xf numFmtId="2" fontId="98" fillId="0" borderId="0" xfId="0" applyNumberFormat="1" applyFont="1" applyFill="1" applyAlignment="1">
      <alignment/>
    </xf>
    <xf numFmtId="0" fontId="100" fillId="0" borderId="0" xfId="0" applyFont="1" applyFill="1" applyAlignment="1">
      <alignment horizontal="center"/>
    </xf>
    <xf numFmtId="0" fontId="97" fillId="0" borderId="0" xfId="0" applyFont="1" applyFill="1" applyAlignment="1">
      <alignment/>
    </xf>
    <xf numFmtId="0" fontId="97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2" fontId="97" fillId="0" borderId="0" xfId="0" applyNumberFormat="1" applyFont="1" applyFill="1" applyBorder="1" applyAlignment="1">
      <alignment/>
    </xf>
    <xf numFmtId="2" fontId="98" fillId="0" borderId="0" xfId="0" applyNumberFormat="1" applyFont="1" applyFill="1" applyBorder="1" applyAlignment="1">
      <alignment/>
    </xf>
    <xf numFmtId="0" fontId="96" fillId="0" borderId="0" xfId="0" applyFont="1" applyFill="1" applyBorder="1" applyAlignment="1">
      <alignment horizontal="justify" vertical="center" wrapText="1"/>
    </xf>
    <xf numFmtId="0" fontId="96" fillId="0" borderId="0" xfId="0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 horizontal="center"/>
    </xf>
    <xf numFmtId="1" fontId="96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Alignment="1">
      <alignment/>
    </xf>
    <xf numFmtId="0" fontId="97" fillId="0" borderId="0" xfId="0" applyFont="1" applyFill="1" applyAlignment="1">
      <alignment wrapText="1"/>
    </xf>
    <xf numFmtId="0" fontId="99" fillId="0" borderId="0" xfId="0" applyFont="1" applyFill="1" applyAlignment="1">
      <alignment vertical="center" wrapText="1"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97" fillId="0" borderId="0" xfId="0" applyFont="1" applyFill="1" applyBorder="1" applyAlignment="1">
      <alignment vertical="center"/>
    </xf>
    <xf numFmtId="0" fontId="97" fillId="0" borderId="12" xfId="0" applyFont="1" applyFill="1" applyBorder="1" applyAlignment="1">
      <alignment/>
    </xf>
    <xf numFmtId="2" fontId="104" fillId="0" borderId="0" xfId="0" applyNumberFormat="1" applyFont="1" applyFill="1" applyAlignment="1">
      <alignment/>
    </xf>
    <xf numFmtId="0" fontId="98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Border="1" applyAlignment="1">
      <alignment/>
    </xf>
    <xf numFmtId="0" fontId="98" fillId="0" borderId="0" xfId="0" applyFont="1" applyFill="1" applyBorder="1" applyAlignment="1">
      <alignment horizontal="left" vertical="center" wrapText="1"/>
    </xf>
    <xf numFmtId="0" fontId="97" fillId="0" borderId="0" xfId="0" applyFont="1" applyFill="1" applyAlignment="1">
      <alignment horizontal="left" wrapText="1"/>
    </xf>
    <xf numFmtId="2" fontId="102" fillId="0" borderId="0" xfId="0" applyNumberFormat="1" applyFont="1" applyFill="1" applyBorder="1" applyAlignment="1">
      <alignment/>
    </xf>
    <xf numFmtId="0" fontId="98" fillId="0" borderId="0" xfId="0" applyFont="1" applyFill="1" applyAlignment="1">
      <alignment horizontal="center"/>
    </xf>
    <xf numFmtId="0" fontId="102" fillId="0" borderId="0" xfId="0" applyFont="1" applyFill="1" applyAlignment="1">
      <alignment/>
    </xf>
    <xf numFmtId="0" fontId="98" fillId="0" borderId="0" xfId="0" applyFont="1" applyFill="1" applyAlignment="1">
      <alignment horizontal="right"/>
    </xf>
    <xf numFmtId="0" fontId="105" fillId="0" borderId="10" xfId="0" applyFont="1" applyFill="1" applyBorder="1" applyAlignment="1">
      <alignment horizontal="center"/>
    </xf>
    <xf numFmtId="2" fontId="106" fillId="0" borderId="0" xfId="0" applyNumberFormat="1" applyFont="1" applyFill="1" applyAlignment="1">
      <alignment/>
    </xf>
    <xf numFmtId="0" fontId="106" fillId="0" borderId="0" xfId="0" applyFont="1" applyFill="1" applyAlignment="1">
      <alignment horizontal="right"/>
    </xf>
    <xf numFmtId="0" fontId="105" fillId="0" borderId="10" xfId="0" applyFont="1" applyFill="1" applyBorder="1" applyAlignment="1">
      <alignment/>
    </xf>
    <xf numFmtId="2" fontId="107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2" fontId="107" fillId="0" borderId="0" xfId="0" applyNumberFormat="1" applyFont="1" applyFill="1" applyBorder="1" applyAlignment="1">
      <alignment/>
    </xf>
    <xf numFmtId="0" fontId="107" fillId="0" borderId="0" xfId="0" applyFont="1" applyFill="1" applyBorder="1" applyAlignment="1">
      <alignment/>
    </xf>
    <xf numFmtId="2" fontId="10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06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/>
    </xf>
    <xf numFmtId="206" fontId="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justify" vertical="center" wrapText="1"/>
    </xf>
    <xf numFmtId="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justify" vertical="center"/>
    </xf>
    <xf numFmtId="1" fontId="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06" fontId="3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justify" vertical="justify"/>
    </xf>
    <xf numFmtId="2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justify" vertical="center"/>
    </xf>
    <xf numFmtId="206" fontId="3" fillId="0" borderId="10" xfId="0" applyNumberFormat="1" applyFont="1" applyFill="1" applyBorder="1" applyAlignment="1">
      <alignment horizontal="justify" vertic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justify" vertical="center"/>
    </xf>
    <xf numFmtId="2" fontId="3" fillId="0" borderId="0" xfId="0" applyNumberFormat="1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/>
    </xf>
    <xf numFmtId="2" fontId="12" fillId="0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justify" vertical="center"/>
    </xf>
    <xf numFmtId="19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/>
    </xf>
    <xf numFmtId="206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05" fillId="0" borderId="0" xfId="0" applyFont="1" applyFill="1" applyAlignment="1">
      <alignment/>
    </xf>
    <xf numFmtId="0" fontId="97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7" fillId="0" borderId="0" xfId="0" applyFont="1" applyFill="1" applyAlignment="1">
      <alignment horizontal="center"/>
    </xf>
    <xf numFmtId="0" fontId="97" fillId="0" borderId="1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distributed" wrapText="1"/>
    </xf>
    <xf numFmtId="0" fontId="9" fillId="0" borderId="10" xfId="0" applyFont="1" applyFill="1" applyBorder="1" applyAlignment="1">
      <alignment horizontal="center" vertical="center"/>
    </xf>
    <xf numFmtId="2" fontId="98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2" fontId="98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8" fillId="0" borderId="0" xfId="0" applyFont="1" applyFill="1" applyAlignment="1">
      <alignment horizontal="left" vertical="center" wrapText="1"/>
    </xf>
    <xf numFmtId="49" fontId="99" fillId="0" borderId="11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justify" vertical="center" wrapText="1"/>
    </xf>
    <xf numFmtId="2" fontId="9" fillId="0" borderId="11" xfId="0" applyNumberFormat="1" applyFont="1" applyFill="1" applyBorder="1" applyAlignment="1">
      <alignment/>
    </xf>
    <xf numFmtId="2" fontId="97" fillId="0" borderId="11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9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center"/>
    </xf>
    <xf numFmtId="206" fontId="3" fillId="0" borderId="0" xfId="0" applyNumberFormat="1" applyFont="1" applyFill="1" applyBorder="1" applyAlignment="1">
      <alignment horizontal="center"/>
    </xf>
    <xf numFmtId="0" fontId="105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justify" vertical="center"/>
    </xf>
    <xf numFmtId="0" fontId="100" fillId="0" borderId="0" xfId="0" applyFont="1" applyAlignment="1">
      <alignment horizontal="center"/>
    </xf>
    <xf numFmtId="0" fontId="2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10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08" fillId="0" borderId="0" xfId="0" applyFont="1" applyAlignment="1">
      <alignment/>
    </xf>
    <xf numFmtId="0" fontId="101" fillId="0" borderId="0" xfId="0" applyFont="1" applyAlignment="1">
      <alignment/>
    </xf>
    <xf numFmtId="2" fontId="101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justify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5" fillId="0" borderId="15" xfId="0" applyFont="1" applyBorder="1" applyAlignment="1">
      <alignment horizontal="center"/>
    </xf>
    <xf numFmtId="0" fontId="105" fillId="0" borderId="16" xfId="0" applyFont="1" applyBorder="1" applyAlignment="1">
      <alignment horizontal="center"/>
    </xf>
    <xf numFmtId="9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198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justify" vertical="center" wrapText="1"/>
    </xf>
    <xf numFmtId="2" fontId="3" fillId="0" borderId="11" xfId="0" applyNumberFormat="1" applyFont="1" applyBorder="1" applyAlignment="1">
      <alignment horizontal="justify" vertical="center" wrapText="1"/>
    </xf>
    <xf numFmtId="2" fontId="3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06" fontId="10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198" fontId="10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justify" vertical="center"/>
    </xf>
    <xf numFmtId="2" fontId="10" fillId="0" borderId="10" xfId="0" applyNumberFormat="1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/>
    </xf>
    <xf numFmtId="0" fontId="99" fillId="0" borderId="10" xfId="0" applyFont="1" applyBorder="1" applyAlignment="1">
      <alignment horizontal="justify" vertical="center" wrapText="1"/>
    </xf>
    <xf numFmtId="198" fontId="10" fillId="0" borderId="10" xfId="0" applyNumberFormat="1" applyFont="1" applyBorder="1" applyAlignment="1">
      <alignment vertical="center"/>
    </xf>
    <xf numFmtId="2" fontId="96" fillId="0" borderId="10" xfId="0" applyNumberFormat="1" applyFont="1" applyBorder="1" applyAlignment="1">
      <alignment horizontal="justify" vertical="center" wrapText="1"/>
    </xf>
    <xf numFmtId="2" fontId="96" fillId="0" borderId="10" xfId="0" applyNumberFormat="1" applyFont="1" applyBorder="1" applyAlignment="1">
      <alignment/>
    </xf>
    <xf numFmtId="2" fontId="96" fillId="0" borderId="11" xfId="0" applyNumberFormat="1" applyFont="1" applyBorder="1" applyAlignment="1">
      <alignment/>
    </xf>
    <xf numFmtId="206" fontId="96" fillId="0" borderId="11" xfId="0" applyNumberFormat="1" applyFont="1" applyBorder="1" applyAlignment="1">
      <alignment/>
    </xf>
    <xf numFmtId="0" fontId="96" fillId="0" borderId="10" xfId="0" applyFont="1" applyBorder="1" applyAlignment="1">
      <alignment horizontal="justify" vertical="center" wrapText="1"/>
    </xf>
    <xf numFmtId="1" fontId="96" fillId="0" borderId="11" xfId="0" applyNumberFormat="1" applyFont="1" applyBorder="1" applyAlignment="1">
      <alignment horizontal="center"/>
    </xf>
    <xf numFmtId="1" fontId="96" fillId="0" borderId="11" xfId="0" applyNumberFormat="1" applyFont="1" applyBorder="1" applyAlignment="1">
      <alignment horizontal="center" vertical="center"/>
    </xf>
    <xf numFmtId="2" fontId="97" fillId="0" borderId="11" xfId="0" applyNumberFormat="1" applyFont="1" applyBorder="1" applyAlignment="1">
      <alignment horizontal="center" vertical="center"/>
    </xf>
    <xf numFmtId="2" fontId="96" fillId="0" borderId="11" xfId="0" applyNumberFormat="1" applyFont="1" applyBorder="1" applyAlignment="1">
      <alignment horizontal="justify" vertical="center" wrapText="1"/>
    </xf>
    <xf numFmtId="0" fontId="9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/>
    </xf>
    <xf numFmtId="2" fontId="96" fillId="0" borderId="20" xfId="0" applyNumberFormat="1" applyFont="1" applyBorder="1" applyAlignment="1">
      <alignment horizontal="center"/>
    </xf>
    <xf numFmtId="1" fontId="96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2" fontId="96" fillId="0" borderId="14" xfId="0" applyNumberFormat="1" applyFont="1" applyBorder="1" applyAlignment="1">
      <alignment/>
    </xf>
    <xf numFmtId="2" fontId="96" fillId="0" borderId="20" xfId="0" applyNumberFormat="1" applyFont="1" applyBorder="1" applyAlignment="1">
      <alignment/>
    </xf>
    <xf numFmtId="206" fontId="96" fillId="0" borderId="20" xfId="0" applyNumberFormat="1" applyFont="1" applyBorder="1" applyAlignment="1">
      <alignment/>
    </xf>
    <xf numFmtId="0" fontId="10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/>
    </xf>
    <xf numFmtId="0" fontId="10" fillId="33" borderId="11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198" fontId="10" fillId="0" borderId="14" xfId="0" applyNumberFormat="1" applyFont="1" applyBorder="1" applyAlignment="1">
      <alignment/>
    </xf>
    <xf numFmtId="1" fontId="10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97" fillId="0" borderId="10" xfId="0" applyFont="1" applyBorder="1" applyAlignment="1">
      <alignment horizontal="justify" vertical="center"/>
    </xf>
    <xf numFmtId="0" fontId="97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/>
    </xf>
    <xf numFmtId="1" fontId="97" fillId="0" borderId="11" xfId="0" applyNumberFormat="1" applyFont="1" applyBorder="1" applyAlignment="1">
      <alignment horizontal="center"/>
    </xf>
    <xf numFmtId="49" fontId="99" fillId="0" borderId="11" xfId="0" applyNumberFormat="1" applyFont="1" applyBorder="1" applyAlignment="1">
      <alignment horizontal="center" vertical="center" wrapText="1"/>
    </xf>
    <xf numFmtId="2" fontId="99" fillId="0" borderId="11" xfId="0" applyNumberFormat="1" applyFont="1" applyBorder="1" applyAlignment="1">
      <alignment horizontal="center" vertical="center"/>
    </xf>
    <xf numFmtId="2" fontId="97" fillId="0" borderId="11" xfId="0" applyNumberFormat="1" applyFont="1" applyBorder="1" applyAlignment="1">
      <alignment/>
    </xf>
    <xf numFmtId="2" fontId="9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105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6" fillId="0" borderId="22" xfId="0" applyFont="1" applyBorder="1" applyAlignment="1">
      <alignment horizontal="center"/>
    </xf>
    <xf numFmtId="0" fontId="96" fillId="0" borderId="22" xfId="0" applyFont="1" applyBorder="1" applyAlignment="1">
      <alignment/>
    </xf>
    <xf numFmtId="2" fontId="9" fillId="0" borderId="22" xfId="0" applyNumberFormat="1" applyFont="1" applyBorder="1" applyAlignment="1">
      <alignment horizontal="center"/>
    </xf>
    <xf numFmtId="2" fontId="99" fillId="0" borderId="22" xfId="0" applyNumberFormat="1" applyFont="1" applyBorder="1" applyAlignment="1">
      <alignment horizontal="center"/>
    </xf>
    <xf numFmtId="2" fontId="97" fillId="0" borderId="0" xfId="0" applyNumberFormat="1" applyFont="1" applyAlignment="1">
      <alignment horizontal="center"/>
    </xf>
    <xf numFmtId="1" fontId="97" fillId="0" borderId="0" xfId="0" applyNumberFormat="1" applyFont="1" applyAlignment="1">
      <alignment horizontal="center" vertical="center"/>
    </xf>
    <xf numFmtId="2" fontId="97" fillId="0" borderId="0" xfId="0" applyNumberFormat="1" applyFont="1" applyAlignment="1">
      <alignment/>
    </xf>
    <xf numFmtId="0" fontId="96" fillId="0" borderId="0" xfId="0" applyFont="1" applyAlignment="1">
      <alignment horizontal="justify" vertical="center" wrapText="1"/>
    </xf>
    <xf numFmtId="0" fontId="96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/>
    </xf>
    <xf numFmtId="0" fontId="109" fillId="0" borderId="0" xfId="0" applyFont="1" applyAlignment="1">
      <alignment vertical="center" wrapText="1"/>
    </xf>
    <xf numFmtId="0" fontId="109" fillId="0" borderId="0" xfId="0" applyFont="1" applyAlignment="1">
      <alignment horizontal="center" vertical="center" wrapText="1"/>
    </xf>
    <xf numFmtId="2" fontId="98" fillId="0" borderId="0" xfId="0" applyNumberFormat="1" applyFont="1" applyAlignment="1">
      <alignment/>
    </xf>
    <xf numFmtId="0" fontId="9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9" fontId="3" fillId="0" borderId="16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06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98" fontId="3" fillId="0" borderId="10" xfId="0" applyNumberFormat="1" applyFont="1" applyBorder="1" applyAlignment="1">
      <alignment/>
    </xf>
    <xf numFmtId="1" fontId="9" fillId="34" borderId="10" xfId="0" applyNumberFormat="1" applyFont="1" applyFill="1" applyBorder="1" applyAlignment="1">
      <alignment horizontal="justify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/>
    </xf>
    <xf numFmtId="206" fontId="3" fillId="34" borderId="10" xfId="0" applyNumberFormat="1" applyFont="1" applyFill="1" applyBorder="1" applyAlignment="1">
      <alignment/>
    </xf>
    <xf numFmtId="0" fontId="97" fillId="0" borderId="10" xfId="0" applyFont="1" applyBorder="1" applyAlignment="1">
      <alignment/>
    </xf>
    <xf numFmtId="1" fontId="99" fillId="0" borderId="10" xfId="0" applyNumberFormat="1" applyFont="1" applyBorder="1" applyAlignment="1">
      <alignment horizontal="center" vertical="center"/>
    </xf>
    <xf numFmtId="2" fontId="99" fillId="0" borderId="10" xfId="0" applyNumberFormat="1" applyFont="1" applyBorder="1" applyAlignment="1">
      <alignment horizontal="center" vertical="center"/>
    </xf>
    <xf numFmtId="206" fontId="97" fillId="0" borderId="10" xfId="0" applyNumberFormat="1" applyFont="1" applyBorder="1" applyAlignment="1">
      <alignment/>
    </xf>
    <xf numFmtId="49" fontId="105" fillId="0" borderId="10" xfId="0" applyNumberFormat="1" applyFont="1" applyBorder="1" applyAlignment="1">
      <alignment horizontal="center" vertical="center"/>
    </xf>
    <xf numFmtId="0" fontId="97" fillId="0" borderId="14" xfId="0" applyFont="1" applyBorder="1" applyAlignment="1">
      <alignment/>
    </xf>
    <xf numFmtId="2" fontId="97" fillId="0" borderId="14" xfId="0" applyNumberFormat="1" applyFont="1" applyBorder="1" applyAlignment="1">
      <alignment/>
    </xf>
    <xf numFmtId="49" fontId="105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06" fontId="97" fillId="0" borderId="14" xfId="0" applyNumberFormat="1" applyFont="1" applyBorder="1" applyAlignment="1">
      <alignment/>
    </xf>
    <xf numFmtId="0" fontId="97" fillId="0" borderId="22" xfId="0" applyFont="1" applyBorder="1" applyAlignment="1">
      <alignment horizontal="justify" vertical="center" wrapText="1"/>
    </xf>
    <xf numFmtId="2" fontId="3" fillId="0" borderId="22" xfId="0" applyNumberFormat="1" applyFont="1" applyBorder="1" applyAlignment="1">
      <alignment/>
    </xf>
    <xf numFmtId="2" fontId="97" fillId="0" borderId="2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206" fontId="3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3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105" fillId="0" borderId="10" xfId="0" applyFont="1" applyBorder="1" applyAlignment="1">
      <alignment/>
    </xf>
    <xf numFmtId="0" fontId="97" fillId="0" borderId="10" xfId="0" applyFont="1" applyBorder="1" applyAlignment="1">
      <alignment horizontal="center" vertical="center" wrapText="1"/>
    </xf>
    <xf numFmtId="2" fontId="105" fillId="0" borderId="10" xfId="0" applyNumberFormat="1" applyFont="1" applyBorder="1" applyAlignment="1">
      <alignment/>
    </xf>
    <xf numFmtId="0" fontId="109" fillId="0" borderId="0" xfId="0" applyFont="1" applyAlignment="1">
      <alignment horizontal="justify" wrapText="1"/>
    </xf>
    <xf numFmtId="0" fontId="109" fillId="0" borderId="0" xfId="0" applyFont="1" applyAlignment="1">
      <alignment horizontal="center" wrapText="1"/>
    </xf>
    <xf numFmtId="2" fontId="96" fillId="0" borderId="0" xfId="0" applyNumberFormat="1" applyFont="1" applyAlignment="1">
      <alignment horizontal="justify"/>
    </xf>
    <xf numFmtId="0" fontId="109" fillId="0" borderId="0" xfId="0" applyFont="1" applyAlignment="1">
      <alignment/>
    </xf>
    <xf numFmtId="0" fontId="109" fillId="0" borderId="0" xfId="0" applyFont="1" applyAlignment="1">
      <alignment horizontal="justify"/>
    </xf>
    <xf numFmtId="2" fontId="96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98" fillId="0" borderId="0" xfId="0" applyFont="1" applyAlignment="1">
      <alignment horizontal="center"/>
    </xf>
    <xf numFmtId="0" fontId="111" fillId="0" borderId="0" xfId="0" applyFont="1" applyAlignment="1">
      <alignment vertical="center"/>
    </xf>
    <xf numFmtId="0" fontId="100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 horizontal="justify" vertical="center"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49" fontId="97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justify" vertical="center" wrapText="1"/>
    </xf>
    <xf numFmtId="0" fontId="3" fillId="0" borderId="16" xfId="0" applyFont="1" applyBorder="1" applyAlignment="1">
      <alignment/>
    </xf>
    <xf numFmtId="0" fontId="10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justify" vertical="center"/>
    </xf>
    <xf numFmtId="2" fontId="3" fillId="0" borderId="11" xfId="0" applyNumberFormat="1" applyFont="1" applyBorder="1" applyAlignment="1">
      <alignment horizontal="center"/>
    </xf>
    <xf numFmtId="0" fontId="96" fillId="34" borderId="10" xfId="0" applyFont="1" applyFill="1" applyBorder="1" applyAlignment="1">
      <alignment horizontal="justify" vertical="center"/>
    </xf>
    <xf numFmtId="0" fontId="96" fillId="34" borderId="10" xfId="0" applyFont="1" applyFill="1" applyBorder="1" applyAlignment="1">
      <alignment horizontal="center" vertical="center"/>
    </xf>
    <xf numFmtId="2" fontId="105" fillId="0" borderId="11" xfId="0" applyNumberFormat="1" applyFont="1" applyBorder="1" applyAlignment="1">
      <alignment/>
    </xf>
    <xf numFmtId="2" fontId="99" fillId="34" borderId="11" xfId="0" applyNumberFormat="1" applyFont="1" applyFill="1" applyBorder="1" applyAlignment="1">
      <alignment horizontal="justify" vertical="center"/>
    </xf>
    <xf numFmtId="2" fontId="97" fillId="34" borderId="11" xfId="0" applyNumberFormat="1" applyFont="1" applyFill="1" applyBorder="1" applyAlignment="1">
      <alignment horizontal="center" vertical="center"/>
    </xf>
    <xf numFmtId="2" fontId="97" fillId="34" borderId="11" xfId="0" applyNumberFormat="1" applyFont="1" applyFill="1" applyBorder="1" applyAlignment="1">
      <alignment/>
    </xf>
    <xf numFmtId="2" fontId="97" fillId="34" borderId="10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center"/>
    </xf>
    <xf numFmtId="198" fontId="3" fillId="0" borderId="14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justify" vertical="center" wrapText="1"/>
    </xf>
    <xf numFmtId="2" fontId="3" fillId="0" borderId="21" xfId="0" applyNumberFormat="1" applyFont="1" applyBorder="1" applyAlignment="1">
      <alignment/>
    </xf>
    <xf numFmtId="0" fontId="10" fillId="33" borderId="11" xfId="0" applyFont="1" applyFill="1" applyBorder="1" applyAlignment="1">
      <alignment horizontal="justify" vertical="center"/>
    </xf>
    <xf numFmtId="0" fontId="10" fillId="33" borderId="11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4" fillId="0" borderId="0" xfId="0" applyFont="1" applyAlignment="1">
      <alignment/>
    </xf>
    <xf numFmtId="0" fontId="98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2" fontId="9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109" fillId="0" borderId="0" xfId="0" applyFont="1" applyAlignment="1">
      <alignment vertical="distributed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9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/>
    </xf>
    <xf numFmtId="2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justify" vertical="center"/>
    </xf>
    <xf numFmtId="2" fontId="12" fillId="0" borderId="11" xfId="0" applyNumberFormat="1" applyFont="1" applyBorder="1" applyAlignment="1">
      <alignment/>
    </xf>
    <xf numFmtId="1" fontId="99" fillId="0" borderId="11" xfId="0" applyNumberFormat="1" applyFont="1" applyBorder="1" applyAlignment="1">
      <alignment/>
    </xf>
    <xf numFmtId="1" fontId="99" fillId="0" borderId="11" xfId="0" applyNumberFormat="1" applyFont="1" applyBorder="1" applyAlignment="1">
      <alignment horizontal="justify" vertical="center"/>
    </xf>
    <xf numFmtId="2" fontId="99" fillId="0" borderId="11" xfId="0" applyNumberFormat="1" applyFont="1" applyBorder="1" applyAlignment="1">
      <alignment horizontal="justify" vertical="center"/>
    </xf>
    <xf numFmtId="2" fontId="97" fillId="0" borderId="11" xfId="0" applyNumberFormat="1" applyFont="1" applyBorder="1" applyAlignment="1">
      <alignment horizontal="center"/>
    </xf>
    <xf numFmtId="206" fontId="97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justify" vertical="center"/>
    </xf>
    <xf numFmtId="2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06" fontId="3" fillId="0" borderId="11" xfId="0" applyNumberFormat="1" applyFont="1" applyBorder="1" applyAlignment="1">
      <alignment vertical="center"/>
    </xf>
    <xf numFmtId="2" fontId="99" fillId="0" borderId="11" xfId="0" applyNumberFormat="1" applyFont="1" applyBorder="1" applyAlignment="1">
      <alignment vertical="center"/>
    </xf>
    <xf numFmtId="49" fontId="99" fillId="0" borderId="11" xfId="0" applyNumberFormat="1" applyFont="1" applyBorder="1" applyAlignment="1">
      <alignment horizontal="justify" vertical="center"/>
    </xf>
    <xf numFmtId="206" fontId="97" fillId="34" borderId="11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justify" vertical="center"/>
    </xf>
    <xf numFmtId="2" fontId="12" fillId="0" borderId="10" xfId="0" applyNumberFormat="1" applyFont="1" applyBorder="1" applyAlignment="1">
      <alignment horizontal="justify" vertical="center"/>
    </xf>
    <xf numFmtId="206" fontId="3" fillId="0" borderId="11" xfId="0" applyNumberFormat="1" applyFont="1" applyBorder="1" applyAlignment="1">
      <alignment horizontal="justify" vertical="center"/>
    </xf>
    <xf numFmtId="198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2" fontId="12" fillId="0" borderId="1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198" fontId="3" fillId="0" borderId="14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horizontal="justify" vertical="center"/>
    </xf>
    <xf numFmtId="49" fontId="9" fillId="0" borderId="20" xfId="0" applyNumberFormat="1" applyFont="1" applyBorder="1" applyAlignment="1">
      <alignment horizontal="justify" vertical="center"/>
    </xf>
    <xf numFmtId="2" fontId="9" fillId="0" borderId="20" xfId="0" applyNumberFormat="1" applyFont="1" applyBorder="1" applyAlignment="1">
      <alignment horizontal="justify" vertical="center"/>
    </xf>
    <xf numFmtId="2" fontId="3" fillId="0" borderId="14" xfId="0" applyNumberFormat="1" applyFont="1" applyBorder="1" applyAlignment="1">
      <alignment horizontal="justify" vertical="center"/>
    </xf>
    <xf numFmtId="2" fontId="12" fillId="0" borderId="14" xfId="0" applyNumberFormat="1" applyFont="1" applyBorder="1" applyAlignment="1">
      <alignment horizontal="justify" vertical="center"/>
    </xf>
    <xf numFmtId="2" fontId="3" fillId="0" borderId="11" xfId="0" applyNumberFormat="1" applyFont="1" applyBorder="1" applyAlignment="1">
      <alignment horizontal="justify" vertical="center"/>
    </xf>
    <xf numFmtId="0" fontId="12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justify" vertical="center"/>
    </xf>
    <xf numFmtId="1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justify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3" fillId="0" borderId="10" xfId="0" applyFont="1" applyBorder="1" applyAlignment="1">
      <alignment horizontal="justify" vertical="center"/>
    </xf>
    <xf numFmtId="0" fontId="113" fillId="0" borderId="10" xfId="0" applyFont="1" applyBorder="1" applyAlignment="1">
      <alignment horizontal="center" vertical="center"/>
    </xf>
    <xf numFmtId="198" fontId="97" fillId="0" borderId="10" xfId="0" applyNumberFormat="1" applyFont="1" applyBorder="1" applyAlignment="1">
      <alignment/>
    </xf>
    <xf numFmtId="1" fontId="97" fillId="0" borderId="11" xfId="0" applyNumberFormat="1" applyFont="1" applyBorder="1" applyAlignment="1">
      <alignment/>
    </xf>
    <xf numFmtId="1" fontId="99" fillId="0" borderId="11" xfId="0" applyNumberFormat="1" applyFont="1" applyBorder="1" applyAlignment="1">
      <alignment horizontal="center" vertical="center"/>
    </xf>
    <xf numFmtId="2" fontId="99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justify" vertical="center" wrapText="1"/>
    </xf>
    <xf numFmtId="2" fontId="3" fillId="0" borderId="17" xfId="0" applyNumberFormat="1" applyFont="1" applyBorder="1" applyAlignment="1">
      <alignment horizontal="justify" vertical="center"/>
    </xf>
    <xf numFmtId="2" fontId="3" fillId="0" borderId="19" xfId="0" applyNumberFormat="1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97" fillId="0" borderId="0" xfId="0" applyFont="1" applyAlignment="1">
      <alignment horizontal="justify" vertical="center" wrapText="1"/>
    </xf>
    <xf numFmtId="14" fontId="108" fillId="0" borderId="0" xfId="0" applyNumberFormat="1" applyFont="1" applyAlignment="1">
      <alignment/>
    </xf>
    <xf numFmtId="0" fontId="114" fillId="0" borderId="0" xfId="0" applyFont="1" applyAlignment="1">
      <alignment horizontal="left" vertical="center" wrapText="1"/>
    </xf>
    <xf numFmtId="0" fontId="1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justify" vertical="center" textRotation="90"/>
    </xf>
    <xf numFmtId="0" fontId="105" fillId="0" borderId="20" xfId="0" applyFont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justify" vertical="center" textRotation="90"/>
    </xf>
    <xf numFmtId="0" fontId="3" fillId="0" borderId="20" xfId="0" applyFont="1" applyBorder="1" applyAlignment="1">
      <alignment horizontal="justify" vertical="center"/>
    </xf>
    <xf numFmtId="0" fontId="3" fillId="0" borderId="20" xfId="0" applyFont="1" applyBorder="1" applyAlignment="1">
      <alignment horizontal="center" vertical="center"/>
    </xf>
    <xf numFmtId="198" fontId="3" fillId="0" borderId="20" xfId="0" applyNumberFormat="1" applyFont="1" applyBorder="1" applyAlignment="1">
      <alignment/>
    </xf>
    <xf numFmtId="1" fontId="97" fillId="0" borderId="20" xfId="0" applyNumberFormat="1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justify" vertical="center"/>
    </xf>
    <xf numFmtId="2" fontId="3" fillId="0" borderId="15" xfId="0" applyNumberFormat="1" applyFont="1" applyBorder="1" applyAlignment="1">
      <alignment/>
    </xf>
    <xf numFmtId="206" fontId="3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/>
    </xf>
    <xf numFmtId="206" fontId="3" fillId="0" borderId="16" xfId="0" applyNumberFormat="1" applyFont="1" applyBorder="1" applyAlignment="1">
      <alignment/>
    </xf>
    <xf numFmtId="0" fontId="115" fillId="0" borderId="10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center" vertical="center"/>
    </xf>
    <xf numFmtId="0" fontId="115" fillId="34" borderId="10" xfId="0" applyFont="1" applyFill="1" applyBorder="1" applyAlignment="1">
      <alignment horizontal="justify" vertical="center"/>
    </xf>
    <xf numFmtId="1" fontId="99" fillId="0" borderId="11" xfId="0" applyNumberFormat="1" applyFont="1" applyBorder="1" applyAlignment="1">
      <alignment horizontal="center"/>
    </xf>
    <xf numFmtId="1" fontId="99" fillId="34" borderId="11" xfId="0" applyNumberFormat="1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/>
    </xf>
    <xf numFmtId="2" fontId="97" fillId="0" borderId="11" xfId="0" applyNumberFormat="1" applyFont="1" applyBorder="1" applyAlignment="1">
      <alignment horizontal="justify" vertical="center"/>
    </xf>
    <xf numFmtId="2" fontId="97" fillId="0" borderId="10" xfId="0" applyNumberFormat="1" applyFont="1" applyBorder="1" applyAlignment="1">
      <alignment horizontal="justify" vertical="center"/>
    </xf>
    <xf numFmtId="2" fontId="97" fillId="34" borderId="10" xfId="0" applyNumberFormat="1" applyFont="1" applyFill="1" applyBorder="1" applyAlignment="1">
      <alignment horizontal="justify" vertical="center"/>
    </xf>
    <xf numFmtId="2" fontId="105" fillId="34" borderId="10" xfId="0" applyNumberFormat="1" applyFont="1" applyFill="1" applyBorder="1" applyAlignment="1">
      <alignment/>
    </xf>
    <xf numFmtId="1" fontId="105" fillId="0" borderId="11" xfId="0" applyNumberFormat="1" applyFont="1" applyBorder="1" applyAlignment="1">
      <alignment horizontal="center"/>
    </xf>
    <xf numFmtId="198" fontId="3" fillId="34" borderId="10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horizontal="justify" vertical="center" wrapText="1"/>
    </xf>
    <xf numFmtId="2" fontId="9" fillId="0" borderId="10" xfId="0" applyNumberFormat="1" applyFont="1" applyBorder="1" applyAlignment="1">
      <alignment horizontal="justify" vertical="center"/>
    </xf>
    <xf numFmtId="1" fontId="9" fillId="0" borderId="2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4" fillId="0" borderId="0" xfId="0" applyFont="1" applyAlignment="1">
      <alignment horizontal="justify" wrapText="1"/>
    </xf>
    <xf numFmtId="0" fontId="24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justify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9" fontId="9" fillId="0" borderId="14" xfId="0" applyNumberFormat="1" applyFont="1" applyBorder="1" applyAlignment="1">
      <alignment horizontal="justify" vertical="center" textRotation="90"/>
    </xf>
    <xf numFmtId="206" fontId="3" fillId="0" borderId="14" xfId="0" applyNumberFormat="1" applyFont="1" applyBorder="1" applyAlignment="1">
      <alignment/>
    </xf>
    <xf numFmtId="0" fontId="97" fillId="34" borderId="10" xfId="0" applyFont="1" applyFill="1" applyBorder="1" applyAlignment="1">
      <alignment horizontal="justify" vertical="center"/>
    </xf>
    <xf numFmtId="0" fontId="97" fillId="34" borderId="10" xfId="0" applyFont="1" applyFill="1" applyBorder="1" applyAlignment="1">
      <alignment horizontal="center" vertical="center"/>
    </xf>
    <xf numFmtId="1" fontId="99" fillId="34" borderId="11" xfId="0" applyNumberFormat="1" applyFont="1" applyFill="1" applyBorder="1" applyAlignment="1">
      <alignment horizontal="justify" vertical="center"/>
    </xf>
    <xf numFmtId="1" fontId="12" fillId="0" borderId="16" xfId="0" applyNumberFormat="1" applyFont="1" applyBorder="1" applyAlignment="1">
      <alignment horizontal="justify" vertical="center"/>
    </xf>
    <xf numFmtId="2" fontId="99" fillId="0" borderId="10" xfId="0" applyNumberFormat="1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3" fillId="0" borderId="25" xfId="0" applyFont="1" applyBorder="1" applyAlignment="1">
      <alignment horizontal="center" vertical="center"/>
    </xf>
    <xf numFmtId="0" fontId="97" fillId="0" borderId="25" xfId="0" applyFont="1" applyBorder="1" applyAlignment="1">
      <alignment horizontal="justify" vertical="center"/>
    </xf>
    <xf numFmtId="2" fontId="3" fillId="0" borderId="25" xfId="0" applyNumberFormat="1" applyFont="1" applyBorder="1" applyAlignment="1">
      <alignment/>
    </xf>
    <xf numFmtId="2" fontId="97" fillId="0" borderId="25" xfId="0" applyNumberFormat="1" applyFont="1" applyBorder="1" applyAlignment="1">
      <alignment/>
    </xf>
    <xf numFmtId="1" fontId="99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justify" vertical="center"/>
    </xf>
    <xf numFmtId="2" fontId="9" fillId="0" borderId="25" xfId="0" applyNumberFormat="1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justify" vertical="center" wrapText="1"/>
    </xf>
    <xf numFmtId="2" fontId="3" fillId="0" borderId="26" xfId="0" applyNumberFormat="1" applyFont="1" applyBorder="1" applyAlignment="1">
      <alignment/>
    </xf>
    <xf numFmtId="2" fontId="97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49" fontId="99" fillId="0" borderId="11" xfId="0" applyNumberFormat="1" applyFont="1" applyBorder="1" applyAlignment="1">
      <alignment horizontal="center" vertical="center"/>
    </xf>
    <xf numFmtId="2" fontId="99" fillId="0" borderId="11" xfId="0" applyNumberFormat="1" applyFont="1" applyBorder="1" applyAlignment="1">
      <alignment horizontal="justify"/>
    </xf>
    <xf numFmtId="0" fontId="109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97" fillId="34" borderId="11" xfId="0" applyNumberFormat="1" applyFont="1" applyFill="1" applyBorder="1" applyAlignment="1">
      <alignment horizontal="justify" vertical="center"/>
    </xf>
    <xf numFmtId="1" fontId="97" fillId="34" borderId="11" xfId="0" applyNumberFormat="1" applyFont="1" applyFill="1" applyBorder="1" applyAlignment="1">
      <alignment horizontal="justify" vertical="center"/>
    </xf>
    <xf numFmtId="2" fontId="3" fillId="0" borderId="14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horizontal="justify"/>
    </xf>
    <xf numFmtId="206" fontId="3" fillId="0" borderId="20" xfId="0" applyNumberFormat="1" applyFont="1" applyBorder="1" applyAlignment="1">
      <alignment/>
    </xf>
    <xf numFmtId="0" fontId="3" fillId="0" borderId="28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2" fontId="3" fillId="33" borderId="21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99" fillId="0" borderId="11" xfId="0" applyNumberFormat="1" applyFont="1" applyBorder="1" applyAlignment="1">
      <alignment/>
    </xf>
    <xf numFmtId="1" fontId="105" fillId="0" borderId="16" xfId="0" applyNumberFormat="1" applyFont="1" applyBorder="1" applyAlignment="1">
      <alignment horizontal="justify" vertical="center"/>
    </xf>
    <xf numFmtId="2" fontId="97" fillId="0" borderId="20" xfId="0" applyNumberFormat="1" applyFont="1" applyBorder="1" applyAlignment="1">
      <alignment horizontal="justify" vertical="center"/>
    </xf>
    <xf numFmtId="2" fontId="97" fillId="0" borderId="16" xfId="0" applyNumberFormat="1" applyFont="1" applyBorder="1" applyAlignment="1">
      <alignment/>
    </xf>
    <xf numFmtId="206" fontId="97" fillId="0" borderId="16" xfId="0" applyNumberFormat="1" applyFont="1" applyBorder="1" applyAlignment="1">
      <alignment/>
    </xf>
    <xf numFmtId="1" fontId="97" fillId="0" borderId="11" xfId="0" applyNumberFormat="1" applyFont="1" applyBorder="1" applyAlignment="1">
      <alignment horizontal="center" vertical="center"/>
    </xf>
    <xf numFmtId="1" fontId="97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justify" vertical="center"/>
    </xf>
    <xf numFmtId="0" fontId="116" fillId="0" borderId="10" xfId="0" applyFont="1" applyBorder="1" applyAlignment="1">
      <alignment horizontal="center" vertical="center"/>
    </xf>
    <xf numFmtId="198" fontId="116" fillId="0" borderId="10" xfId="0" applyNumberFormat="1" applyFont="1" applyBorder="1" applyAlignment="1">
      <alignment/>
    </xf>
    <xf numFmtId="2" fontId="98" fillId="0" borderId="0" xfId="0" applyNumberFormat="1" applyFont="1" applyAlignment="1">
      <alignment horizontal="justify" vertical="center"/>
    </xf>
    <xf numFmtId="0" fontId="98" fillId="0" borderId="0" xfId="0" applyFont="1" applyAlignment="1">
      <alignment horizontal="left"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/>
    </xf>
    <xf numFmtId="0" fontId="98" fillId="0" borderId="12" xfId="0" applyFont="1" applyBorder="1" applyAlignment="1">
      <alignment/>
    </xf>
    <xf numFmtId="0" fontId="98" fillId="0" borderId="12" xfId="0" applyFont="1" applyBorder="1" applyAlignment="1">
      <alignment horizontal="center"/>
    </xf>
    <xf numFmtId="0" fontId="98" fillId="0" borderId="13" xfId="0" applyFont="1" applyBorder="1" applyAlignment="1">
      <alignment/>
    </xf>
    <xf numFmtId="0" fontId="98" fillId="0" borderId="13" xfId="0" applyFont="1" applyBorder="1" applyAlignment="1">
      <alignment horizontal="center"/>
    </xf>
    <xf numFmtId="0" fontId="98" fillId="0" borderId="14" xfId="0" applyFont="1" applyBorder="1" applyAlignment="1">
      <alignment horizontal="justify" vertical="center" wrapText="1"/>
    </xf>
    <xf numFmtId="0" fontId="98" fillId="0" borderId="29" xfId="0" applyFont="1" applyBorder="1" applyAlignment="1">
      <alignment horizontal="center" vertical="center" wrapText="1"/>
    </xf>
    <xf numFmtId="0" fontId="98" fillId="0" borderId="18" xfId="0" applyFont="1" applyBorder="1" applyAlignment="1">
      <alignment/>
    </xf>
    <xf numFmtId="0" fontId="98" fillId="0" borderId="19" xfId="0" applyFont="1" applyBorder="1" applyAlignment="1">
      <alignment/>
    </xf>
    <xf numFmtId="0" fontId="98" fillId="0" borderId="15" xfId="0" applyFont="1" applyBorder="1" applyAlignment="1">
      <alignment/>
    </xf>
    <xf numFmtId="0" fontId="98" fillId="0" borderId="15" xfId="0" applyFont="1" applyBorder="1" applyAlignment="1">
      <alignment horizontal="center"/>
    </xf>
    <xf numFmtId="0" fontId="98" fillId="0" borderId="15" xfId="0" applyFont="1" applyBorder="1" applyAlignment="1">
      <alignment horizontal="justify" vertical="center" wrapText="1"/>
    </xf>
    <xf numFmtId="0" fontId="98" fillId="0" borderId="30" xfId="0" applyFont="1" applyBorder="1" applyAlignment="1">
      <alignment horizontal="center" vertical="center" wrapText="1"/>
    </xf>
    <xf numFmtId="9" fontId="98" fillId="0" borderId="15" xfId="0" applyNumberFormat="1" applyFont="1" applyBorder="1" applyAlignment="1">
      <alignment/>
    </xf>
    <xf numFmtId="0" fontId="98" fillId="0" borderId="16" xfId="0" applyFont="1" applyBorder="1" applyAlignment="1">
      <alignment horizontal="center"/>
    </xf>
    <xf numFmtId="0" fontId="98" fillId="0" borderId="16" xfId="0" applyFont="1" applyBorder="1" applyAlignment="1">
      <alignment/>
    </xf>
    <xf numFmtId="0" fontId="98" fillId="0" borderId="16" xfId="0" applyFont="1" applyBorder="1" applyAlignment="1">
      <alignment horizontal="justify" vertical="center" wrapText="1"/>
    </xf>
    <xf numFmtId="0" fontId="98" fillId="0" borderId="31" xfId="0" applyFont="1" applyBorder="1" applyAlignment="1">
      <alignment horizontal="center" vertical="center" wrapText="1"/>
    </xf>
    <xf numFmtId="9" fontId="98" fillId="0" borderId="16" xfId="0" applyNumberFormat="1" applyFont="1" applyBorder="1" applyAlignment="1">
      <alignment/>
    </xf>
    <xf numFmtId="0" fontId="98" fillId="0" borderId="11" xfId="0" applyFont="1" applyBorder="1" applyAlignment="1">
      <alignment horizontal="center"/>
    </xf>
    <xf numFmtId="0" fontId="98" fillId="0" borderId="11" xfId="0" applyFont="1" applyBorder="1" applyAlignment="1">
      <alignment/>
    </xf>
    <xf numFmtId="0" fontId="98" fillId="0" borderId="11" xfId="0" applyFont="1" applyBorder="1" applyAlignment="1">
      <alignment horizontal="right"/>
    </xf>
    <xf numFmtId="1" fontId="98" fillId="0" borderId="11" xfId="0" applyNumberFormat="1" applyFont="1" applyBorder="1" applyAlignment="1">
      <alignment/>
    </xf>
    <xf numFmtId="1" fontId="98" fillId="0" borderId="11" xfId="0" applyNumberFormat="1" applyFont="1" applyBorder="1" applyAlignment="1">
      <alignment horizontal="justify" vertical="center"/>
    </xf>
    <xf numFmtId="2" fontId="98" fillId="0" borderId="11" xfId="0" applyNumberFormat="1" applyFont="1" applyBorder="1" applyAlignment="1">
      <alignment/>
    </xf>
    <xf numFmtId="2" fontId="98" fillId="0" borderId="11" xfId="0" applyNumberFormat="1" applyFont="1" applyBorder="1" applyAlignment="1">
      <alignment horizontal="right"/>
    </xf>
    <xf numFmtId="0" fontId="98" fillId="0" borderId="14" xfId="0" applyFont="1" applyBorder="1" applyAlignment="1">
      <alignment horizontal="center" vertical="center"/>
    </xf>
    <xf numFmtId="0" fontId="98" fillId="0" borderId="14" xfId="0" applyFont="1" applyBorder="1" applyAlignment="1">
      <alignment horizontal="justify" vertical="center"/>
    </xf>
    <xf numFmtId="2" fontId="98" fillId="0" borderId="14" xfId="0" applyNumberFormat="1" applyFont="1" applyBorder="1" applyAlignment="1">
      <alignment horizontal="justify" vertical="center"/>
    </xf>
    <xf numFmtId="2" fontId="98" fillId="0" borderId="14" xfId="0" applyNumberFormat="1" applyFont="1" applyBorder="1" applyAlignment="1">
      <alignment horizontal="center"/>
    </xf>
    <xf numFmtId="0" fontId="98" fillId="0" borderId="11" xfId="0" applyFont="1" applyBorder="1" applyAlignment="1">
      <alignment horizontal="center" vertical="center"/>
    </xf>
    <xf numFmtId="0" fontId="98" fillId="0" borderId="11" xfId="0" applyFont="1" applyBorder="1" applyAlignment="1">
      <alignment horizontal="justify" vertical="center"/>
    </xf>
    <xf numFmtId="2" fontId="98" fillId="0" borderId="11" xfId="0" applyNumberFormat="1" applyFont="1" applyBorder="1" applyAlignment="1">
      <alignment horizontal="justify" vertical="center"/>
    </xf>
    <xf numFmtId="2" fontId="98" fillId="0" borderId="11" xfId="0" applyNumberFormat="1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2" fontId="98" fillId="0" borderId="10" xfId="0" applyNumberFormat="1" applyFont="1" applyBorder="1" applyAlignment="1">
      <alignment horizontal="right"/>
    </xf>
    <xf numFmtId="2" fontId="98" fillId="0" borderId="10" xfId="0" applyNumberFormat="1" applyFont="1" applyBorder="1" applyAlignment="1">
      <alignment/>
    </xf>
    <xf numFmtId="1" fontId="98" fillId="0" borderId="20" xfId="0" applyNumberFormat="1" applyFont="1" applyBorder="1" applyAlignment="1">
      <alignment horizontal="justify" vertical="center"/>
    </xf>
    <xf numFmtId="0" fontId="98" fillId="0" borderId="10" xfId="0" applyFont="1" applyBorder="1" applyAlignment="1">
      <alignment horizontal="justify" vertical="center"/>
    </xf>
    <xf numFmtId="0" fontId="98" fillId="0" borderId="10" xfId="0" applyFont="1" applyBorder="1" applyAlignment="1">
      <alignment horizontal="center" vertical="center"/>
    </xf>
    <xf numFmtId="2" fontId="102" fillId="0" borderId="10" xfId="0" applyNumberFormat="1" applyFont="1" applyBorder="1" applyAlignment="1">
      <alignment/>
    </xf>
    <xf numFmtId="1" fontId="98" fillId="0" borderId="10" xfId="0" applyNumberFormat="1" applyFont="1" applyBorder="1" applyAlignment="1">
      <alignment/>
    </xf>
    <xf numFmtId="2" fontId="98" fillId="0" borderId="10" xfId="0" applyNumberFormat="1" applyFont="1" applyBorder="1" applyAlignment="1">
      <alignment horizontal="justify"/>
    </xf>
    <xf numFmtId="1" fontId="98" fillId="0" borderId="0" xfId="0" applyNumberFormat="1" applyFont="1" applyAlignment="1">
      <alignment/>
    </xf>
    <xf numFmtId="0" fontId="9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01" fillId="0" borderId="0" xfId="0" applyFont="1" applyAlignment="1">
      <alignment horizontal="right"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justify" vertical="center" wrapText="1"/>
    </xf>
    <xf numFmtId="2" fontId="10" fillId="0" borderId="10" xfId="0" applyNumberFormat="1" applyFont="1" applyBorder="1" applyAlignment="1">
      <alignment vertical="center"/>
    </xf>
    <xf numFmtId="0" fontId="96" fillId="0" borderId="10" xfId="0" applyFont="1" applyBorder="1" applyAlignment="1">
      <alignment/>
    </xf>
    <xf numFmtId="0" fontId="96" fillId="0" borderId="10" xfId="0" applyFont="1" applyBorder="1" applyAlignment="1">
      <alignment horizontal="center"/>
    </xf>
    <xf numFmtId="1" fontId="96" fillId="0" borderId="10" xfId="0" applyNumberFormat="1" applyFont="1" applyBorder="1" applyAlignment="1">
      <alignment/>
    </xf>
    <xf numFmtId="1" fontId="96" fillId="34" borderId="10" xfId="0" applyNumberFormat="1" applyFont="1" applyFill="1" applyBorder="1" applyAlignment="1">
      <alignment horizontal="center" vertical="center"/>
    </xf>
    <xf numFmtId="2" fontId="96" fillId="34" borderId="10" xfId="0" applyNumberFormat="1" applyFont="1" applyFill="1" applyBorder="1" applyAlignment="1">
      <alignment horizontal="center" vertical="center"/>
    </xf>
    <xf numFmtId="2" fontId="96" fillId="34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34" borderId="14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34" borderId="22" xfId="0" applyNumberFormat="1" applyFont="1" applyFill="1" applyBorder="1" applyAlignment="1">
      <alignment horizontal="center"/>
    </xf>
    <xf numFmtId="2" fontId="10" fillId="0" borderId="23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justify" vertical="center"/>
    </xf>
    <xf numFmtId="2" fontId="10" fillId="0" borderId="10" xfId="0" applyNumberFormat="1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2" fontId="10" fillId="34" borderId="11" xfId="0" applyNumberFormat="1" applyFont="1" applyFill="1" applyBorder="1" applyAlignment="1">
      <alignment/>
    </xf>
    <xf numFmtId="1" fontId="10" fillId="34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justify"/>
    </xf>
    <xf numFmtId="1" fontId="10" fillId="0" borderId="10" xfId="0" applyNumberFormat="1" applyFont="1" applyBorder="1" applyAlignment="1">
      <alignment horizontal="justify" vertical="center"/>
    </xf>
    <xf numFmtId="0" fontId="109" fillId="0" borderId="0" xfId="0" applyFont="1" applyAlignment="1">
      <alignment horizontal="justify" vertical="center" wrapText="1"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1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2" fontId="9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9" fontId="13" fillId="0" borderId="15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 horizontal="justify" vertical="center" wrapText="1"/>
    </xf>
    <xf numFmtId="9" fontId="13" fillId="0" borderId="16" xfId="0" applyNumberFormat="1" applyFont="1" applyBorder="1" applyAlignment="1">
      <alignment/>
    </xf>
    <xf numFmtId="0" fontId="101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justify" vertical="center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justify" vertical="center"/>
    </xf>
    <xf numFmtId="0" fontId="13" fillId="0" borderId="14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 horizontal="justify" vertical="center"/>
    </xf>
    <xf numFmtId="2" fontId="13" fillId="0" borderId="10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/>
    </xf>
    <xf numFmtId="2" fontId="33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 horizontal="justify" vertical="center"/>
    </xf>
    <xf numFmtId="2" fontId="13" fillId="0" borderId="26" xfId="0" applyNumberFormat="1" applyFont="1" applyBorder="1" applyAlignment="1">
      <alignment horizontal="justify"/>
    </xf>
    <xf numFmtId="2" fontId="13" fillId="0" borderId="20" xfId="0" applyNumberFormat="1" applyFont="1" applyBorder="1" applyAlignment="1">
      <alignment horizontal="justify"/>
    </xf>
    <xf numFmtId="0" fontId="13" fillId="0" borderId="14" xfId="0" applyFont="1" applyBorder="1" applyAlignment="1">
      <alignment horizontal="justify"/>
    </xf>
    <xf numFmtId="0" fontId="13" fillId="0" borderId="22" xfId="0" applyFont="1" applyBorder="1" applyAlignment="1">
      <alignment horizontal="justify" vertical="center"/>
    </xf>
    <xf numFmtId="0" fontId="13" fillId="0" borderId="22" xfId="0" applyFont="1" applyBorder="1" applyAlignment="1">
      <alignment horizontal="center" vertical="center"/>
    </xf>
    <xf numFmtId="2" fontId="13" fillId="0" borderId="22" xfId="0" applyNumberFormat="1" applyFont="1" applyBorder="1" applyAlignment="1">
      <alignment/>
    </xf>
    <xf numFmtId="2" fontId="96" fillId="0" borderId="22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06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2" fontId="34" fillId="0" borderId="11" xfId="0" applyNumberFormat="1" applyFont="1" applyBorder="1" applyAlignment="1">
      <alignment horizontal="justify" vertical="center"/>
    </xf>
    <xf numFmtId="2" fontId="13" fillId="0" borderId="11" xfId="0" applyNumberFormat="1" applyFont="1" applyBorder="1" applyAlignment="1">
      <alignment vertical="center"/>
    </xf>
    <xf numFmtId="206" fontId="13" fillId="0" borderId="11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" fontId="13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wrapText="1"/>
    </xf>
    <xf numFmtId="1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/>
    </xf>
    <xf numFmtId="206" fontId="13" fillId="0" borderId="10" xfId="0" applyNumberFormat="1" applyFont="1" applyBorder="1" applyAlignment="1">
      <alignment/>
    </xf>
    <xf numFmtId="0" fontId="101" fillId="0" borderId="0" xfId="0" applyFont="1" applyAlignment="1">
      <alignment horizontal="justify" wrapText="1"/>
    </xf>
    <xf numFmtId="0" fontId="101" fillId="0" borderId="0" xfId="0" applyFont="1" applyAlignment="1">
      <alignment horizontal="center" vertical="center" wrapText="1"/>
    </xf>
    <xf numFmtId="2" fontId="101" fillId="0" borderId="0" xfId="0" applyNumberFormat="1" applyFont="1" applyAlignment="1">
      <alignment horizontal="justify"/>
    </xf>
    <xf numFmtId="0" fontId="101" fillId="0" borderId="0" xfId="0" applyFont="1" applyAlignment="1">
      <alignment horizontal="justify"/>
    </xf>
    <xf numFmtId="2" fontId="96" fillId="0" borderId="0" xfId="0" applyNumberFormat="1" applyFont="1" applyAlignment="1">
      <alignment horizontal="center"/>
    </xf>
    <xf numFmtId="1" fontId="96" fillId="0" borderId="0" xfId="0" applyNumberFormat="1" applyFont="1" applyAlignment="1">
      <alignment horizontal="center" vertical="center"/>
    </xf>
    <xf numFmtId="2" fontId="101" fillId="0" borderId="0" xfId="0" applyNumberFormat="1" applyFont="1" applyAlignment="1">
      <alignment horizontal="center" vertical="center"/>
    </xf>
    <xf numFmtId="0" fontId="101" fillId="0" borderId="10" xfId="0" applyFont="1" applyBorder="1" applyAlignment="1">
      <alignment/>
    </xf>
    <xf numFmtId="0" fontId="101" fillId="0" borderId="10" xfId="0" applyFont="1" applyBorder="1" applyAlignment="1">
      <alignment horizontal="center" vertical="center"/>
    </xf>
    <xf numFmtId="2" fontId="101" fillId="0" borderId="10" xfId="0" applyNumberFormat="1" applyFont="1" applyBorder="1" applyAlignment="1">
      <alignment/>
    </xf>
    <xf numFmtId="0" fontId="9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8" fillId="0" borderId="0" xfId="0" applyFont="1" applyFill="1" applyBorder="1" applyAlignment="1">
      <alignment horizontal="left" vertical="center" wrapText="1"/>
    </xf>
    <xf numFmtId="0" fontId="118" fillId="0" borderId="0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textRotation="90"/>
    </xf>
    <xf numFmtId="0" fontId="9" fillId="0" borderId="20" xfId="0" applyFont="1" applyFill="1" applyBorder="1" applyAlignment="1">
      <alignment horizontal="justify" vertical="center" textRotation="90"/>
    </xf>
    <xf numFmtId="0" fontId="9" fillId="0" borderId="11" xfId="0" applyFont="1" applyFill="1" applyBorder="1" applyAlignment="1">
      <alignment horizontal="justify" vertical="center" textRotation="90"/>
    </xf>
    <xf numFmtId="0" fontId="9" fillId="0" borderId="1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justify" vertical="center" wrapText="1"/>
    </xf>
    <xf numFmtId="9" fontId="9" fillId="0" borderId="20" xfId="0" applyNumberFormat="1" applyFont="1" applyFill="1" applyBorder="1" applyAlignment="1">
      <alignment horizontal="justify" vertical="center" textRotation="90"/>
    </xf>
    <xf numFmtId="9" fontId="9" fillId="0" borderId="14" xfId="0" applyNumberFormat="1" applyFont="1" applyFill="1" applyBorder="1" applyAlignment="1">
      <alignment horizontal="justify" vertical="center" textRotation="90" wrapText="1"/>
    </xf>
    <xf numFmtId="9" fontId="9" fillId="0" borderId="20" xfId="0" applyNumberFormat="1" applyFont="1" applyFill="1" applyBorder="1" applyAlignment="1">
      <alignment horizontal="justify" vertical="center" textRotation="90" wrapText="1"/>
    </xf>
    <xf numFmtId="9" fontId="9" fillId="0" borderId="11" xfId="0" applyNumberFormat="1" applyFont="1" applyFill="1" applyBorder="1" applyAlignment="1">
      <alignment horizontal="justify" vertical="center" textRotation="90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textRotation="90" wrapText="1"/>
    </xf>
    <xf numFmtId="0" fontId="3" fillId="0" borderId="20" xfId="0" applyFont="1" applyFill="1" applyBorder="1" applyAlignment="1">
      <alignment horizontal="justify" vertical="center" textRotation="90" wrapText="1"/>
    </xf>
    <xf numFmtId="0" fontId="3" fillId="0" borderId="11" xfId="0" applyFont="1" applyFill="1" applyBorder="1" applyAlignment="1">
      <alignment horizontal="justify" vertical="center" textRotation="90" wrapText="1"/>
    </xf>
    <xf numFmtId="0" fontId="97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9" fontId="9" fillId="0" borderId="14" xfId="0" applyNumberFormat="1" applyFont="1" applyFill="1" applyBorder="1" applyAlignment="1">
      <alignment horizontal="justify" vertic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20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justify" vertical="center" textRotation="90" wrapText="1"/>
    </xf>
    <xf numFmtId="0" fontId="9" fillId="0" borderId="20" xfId="0" applyFont="1" applyFill="1" applyBorder="1" applyAlignment="1">
      <alignment horizontal="justify" vertical="center" textRotation="90" wrapText="1"/>
    </xf>
    <xf numFmtId="0" fontId="9" fillId="0" borderId="11" xfId="0" applyFont="1" applyFill="1" applyBorder="1" applyAlignment="1">
      <alignment horizontal="justify" vertical="center" textRotation="90" wrapText="1"/>
    </xf>
    <xf numFmtId="9" fontId="9" fillId="0" borderId="13" xfId="0" applyNumberFormat="1" applyFont="1" applyFill="1" applyBorder="1" applyAlignment="1">
      <alignment horizontal="justify" vertical="center" textRotation="90"/>
    </xf>
    <xf numFmtId="0" fontId="9" fillId="0" borderId="15" xfId="0" applyFont="1" applyFill="1" applyBorder="1" applyAlignment="1">
      <alignment horizontal="justify" vertical="center" textRotation="90"/>
    </xf>
    <xf numFmtId="0" fontId="9" fillId="0" borderId="16" xfId="0" applyFont="1" applyFill="1" applyBorder="1" applyAlignment="1">
      <alignment horizontal="justify" vertical="center" textRotation="90"/>
    </xf>
    <xf numFmtId="0" fontId="18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vertical="center" textRotation="90" wrapText="1"/>
    </xf>
    <xf numFmtId="0" fontId="12" fillId="0" borderId="20" xfId="0" applyFont="1" applyFill="1" applyBorder="1" applyAlignment="1">
      <alignment horizontal="justify" vertical="center" textRotation="90" wrapText="1"/>
    </xf>
    <xf numFmtId="0" fontId="12" fillId="0" borderId="11" xfId="0" applyFont="1" applyFill="1" applyBorder="1" applyAlignment="1">
      <alignment horizontal="justify" vertical="center" textRotation="90" wrapText="1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textRotation="90"/>
    </xf>
    <xf numFmtId="0" fontId="10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justify" vertical="center" textRotation="90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justify" vertical="justify" textRotation="90"/>
    </xf>
    <xf numFmtId="0" fontId="12" fillId="0" borderId="20" xfId="0" applyFont="1" applyFill="1" applyBorder="1" applyAlignment="1">
      <alignment horizontal="justify" vertical="justify" textRotation="90"/>
    </xf>
    <xf numFmtId="0" fontId="12" fillId="0" borderId="11" xfId="0" applyFont="1" applyFill="1" applyBorder="1" applyAlignment="1">
      <alignment horizontal="justify" vertical="justify" textRotation="90"/>
    </xf>
    <xf numFmtId="0" fontId="9" fillId="0" borderId="14" xfId="0" applyFont="1" applyFill="1" applyBorder="1" applyAlignment="1">
      <alignment horizontal="justify" vertical="justify" textRotation="90"/>
    </xf>
    <xf numFmtId="0" fontId="9" fillId="0" borderId="20" xfId="0" applyFont="1" applyFill="1" applyBorder="1" applyAlignment="1">
      <alignment horizontal="justify" vertical="justify" textRotation="90"/>
    </xf>
    <xf numFmtId="0" fontId="9" fillId="0" borderId="11" xfId="0" applyFont="1" applyFill="1" applyBorder="1" applyAlignment="1">
      <alignment horizontal="justify" vertical="justify" textRotation="90"/>
    </xf>
    <xf numFmtId="0" fontId="9" fillId="0" borderId="10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justify" textRotation="90"/>
    </xf>
    <xf numFmtId="14" fontId="11" fillId="0" borderId="0" xfId="0" applyNumberFormat="1" applyFont="1" applyFill="1" applyBorder="1" applyAlignment="1">
      <alignment horizontal="left" vertical="center" wrapText="1"/>
    </xf>
    <xf numFmtId="0" fontId="121" fillId="0" borderId="0" xfId="0" applyFont="1" applyFill="1" applyAlignment="1">
      <alignment horizontal="justify" vertical="center" wrapTex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justify" vertical="justify" textRotation="90" wrapText="1"/>
    </xf>
    <xf numFmtId="9" fontId="12" fillId="0" borderId="20" xfId="0" applyNumberFormat="1" applyFont="1" applyFill="1" applyBorder="1" applyAlignment="1">
      <alignment horizontal="justify" vertical="justify" textRotation="90" wrapText="1"/>
    </xf>
    <xf numFmtId="9" fontId="12" fillId="0" borderId="11" xfId="0" applyNumberFormat="1" applyFont="1" applyFill="1" applyBorder="1" applyAlignment="1">
      <alignment horizontal="justify" vertical="justify" textRotation="90" wrapText="1"/>
    </xf>
    <xf numFmtId="0" fontId="2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vertical="center" textRotation="90"/>
    </xf>
    <xf numFmtId="0" fontId="12" fillId="0" borderId="20" xfId="0" applyFont="1" applyFill="1" applyBorder="1" applyAlignment="1">
      <alignment horizontal="justify" vertical="center" textRotation="90"/>
    </xf>
    <xf numFmtId="0" fontId="12" fillId="0" borderId="11" xfId="0" applyFont="1" applyFill="1" applyBorder="1" applyAlignment="1">
      <alignment horizontal="justify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justify" vertical="justify"/>
    </xf>
    <xf numFmtId="0" fontId="9" fillId="0" borderId="1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justify" vertical="justify"/>
    </xf>
    <xf numFmtId="0" fontId="3" fillId="0" borderId="1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5" fillId="0" borderId="13" xfId="0" applyFont="1" applyBorder="1" applyAlignment="1">
      <alignment horizontal="center"/>
    </xf>
    <xf numFmtId="0" fontId="105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justify" vertical="center" textRotation="90" wrapText="1"/>
    </xf>
    <xf numFmtId="0" fontId="9" fillId="0" borderId="20" xfId="0" applyFont="1" applyBorder="1" applyAlignment="1">
      <alignment horizontal="justify" vertical="center" textRotation="90" wrapText="1"/>
    </xf>
    <xf numFmtId="0" fontId="9" fillId="0" borderId="11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3" fillId="0" borderId="20" xfId="0" applyFont="1" applyBorder="1" applyAlignment="1">
      <alignment horizontal="justify" vertical="center" textRotation="90" wrapText="1"/>
    </xf>
    <xf numFmtId="0" fontId="3" fillId="0" borderId="11" xfId="0" applyFont="1" applyBorder="1" applyAlignment="1">
      <alignment horizontal="justify" vertical="center" textRotation="90" wrapText="1"/>
    </xf>
    <xf numFmtId="0" fontId="10" fillId="0" borderId="30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 textRotation="90"/>
    </xf>
    <xf numFmtId="9" fontId="10" fillId="0" borderId="20" xfId="0" applyNumberFormat="1" applyFont="1" applyBorder="1" applyAlignment="1">
      <alignment horizontal="justify" vertical="center" textRotation="90"/>
    </xf>
    <xf numFmtId="0" fontId="10" fillId="0" borderId="20" xfId="0" applyFont="1" applyBorder="1" applyAlignment="1">
      <alignment horizontal="justify" vertical="center" textRotation="90"/>
    </xf>
    <xf numFmtId="0" fontId="10" fillId="0" borderId="11" xfId="0" applyFont="1" applyBorder="1" applyAlignment="1">
      <alignment horizontal="justify" vertical="center" textRotation="90"/>
    </xf>
    <xf numFmtId="0" fontId="10" fillId="0" borderId="20" xfId="0" applyFont="1" applyBorder="1" applyAlignment="1">
      <alignment horizontal="justify" textRotation="90"/>
    </xf>
    <xf numFmtId="0" fontId="10" fillId="0" borderId="11" xfId="0" applyFont="1" applyBorder="1" applyAlignment="1">
      <alignment horizontal="justify" textRotation="90"/>
    </xf>
    <xf numFmtId="0" fontId="10" fillId="0" borderId="14" xfId="0" applyFont="1" applyBorder="1" applyAlignment="1">
      <alignment horizontal="justify" vertical="center" textRotation="90"/>
    </xf>
    <xf numFmtId="0" fontId="3" fillId="0" borderId="10" xfId="0" applyFont="1" applyBorder="1" applyAlignment="1">
      <alignment horizontal="center" textRotation="90"/>
    </xf>
    <xf numFmtId="0" fontId="10" fillId="0" borderId="14" xfId="0" applyFont="1" applyBorder="1" applyAlignment="1">
      <alignment horizontal="justify" vertical="center" textRotation="90" wrapText="1"/>
    </xf>
    <xf numFmtId="0" fontId="10" fillId="0" borderId="20" xfId="0" applyFont="1" applyBorder="1" applyAlignment="1">
      <alignment horizontal="justify" vertical="center" textRotation="90" wrapText="1"/>
    </xf>
    <xf numFmtId="0" fontId="10" fillId="0" borderId="11" xfId="0" applyFont="1" applyBorder="1" applyAlignment="1">
      <alignment horizontal="justify" vertical="center" textRotation="90" wrapText="1"/>
    </xf>
    <xf numFmtId="9" fontId="10" fillId="0" borderId="20" xfId="0" applyNumberFormat="1" applyFont="1" applyBorder="1" applyAlignment="1">
      <alignment horizontal="justify" vertical="center" textRotation="90" wrapText="1"/>
    </xf>
    <xf numFmtId="9" fontId="10" fillId="0" borderId="11" xfId="0" applyNumberFormat="1" applyFont="1" applyBorder="1" applyAlignment="1">
      <alignment horizontal="justify" vertical="center" textRotation="90" wrapText="1"/>
    </xf>
    <xf numFmtId="0" fontId="10" fillId="0" borderId="15" xfId="0" applyFont="1" applyBorder="1" applyAlignment="1">
      <alignment horizontal="justify" vertical="center" textRotation="90"/>
    </xf>
    <xf numFmtId="0" fontId="10" fillId="0" borderId="16" xfId="0" applyFont="1" applyBorder="1" applyAlignment="1">
      <alignment horizontal="justify" vertical="center" textRotation="90"/>
    </xf>
    <xf numFmtId="0" fontId="22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 textRotation="90" wrapText="1"/>
    </xf>
    <xf numFmtId="0" fontId="3" fillId="0" borderId="10" xfId="0" applyFont="1" applyBorder="1" applyAlignment="1">
      <alignment horizontal="justify" vertical="center" textRotation="90" wrapText="1"/>
    </xf>
    <xf numFmtId="0" fontId="9" fillId="0" borderId="10" xfId="0" applyFont="1" applyBorder="1" applyAlignment="1">
      <alignment horizontal="center" textRotation="90"/>
    </xf>
    <xf numFmtId="9" fontId="10" fillId="0" borderId="10" xfId="0" applyNumberFormat="1" applyFont="1" applyBorder="1" applyAlignment="1">
      <alignment horizontal="justify" textRotation="90"/>
    </xf>
    <xf numFmtId="0" fontId="10" fillId="0" borderId="10" xfId="0" applyFont="1" applyBorder="1" applyAlignment="1">
      <alignment horizontal="justify" textRotation="90"/>
    </xf>
    <xf numFmtId="0" fontId="9" fillId="0" borderId="10" xfId="0" applyFont="1" applyBorder="1" applyAlignment="1">
      <alignment horizontal="justify" textRotation="90"/>
    </xf>
    <xf numFmtId="0" fontId="10" fillId="0" borderId="10" xfId="0" applyFont="1" applyBorder="1" applyAlignment="1">
      <alignment horizontal="center" textRotation="90"/>
    </xf>
    <xf numFmtId="9" fontId="10" fillId="0" borderId="10" xfId="0" applyNumberFormat="1" applyFont="1" applyBorder="1" applyAlignment="1">
      <alignment horizontal="justify" vertical="center" textRotation="90" wrapText="1"/>
    </xf>
    <xf numFmtId="0" fontId="10" fillId="0" borderId="10" xfId="0" applyFont="1" applyBorder="1" applyAlignment="1">
      <alignment horizontal="justify" vertical="center" textRotation="90"/>
    </xf>
    <xf numFmtId="0" fontId="1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right" vertical="center"/>
    </xf>
    <xf numFmtId="198" fontId="3" fillId="0" borderId="11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0" borderId="20" xfId="0" applyNumberFormat="1" applyFont="1" applyBorder="1" applyAlignment="1">
      <alignment horizontal="justify" vertical="center" textRotation="90"/>
    </xf>
    <xf numFmtId="0" fontId="3" fillId="0" borderId="20" xfId="0" applyFont="1" applyBorder="1" applyAlignment="1">
      <alignment horizontal="justify" vertical="center" textRotation="90"/>
    </xf>
    <xf numFmtId="0" fontId="3" fillId="0" borderId="11" xfId="0" applyFont="1" applyBorder="1" applyAlignment="1">
      <alignment horizontal="justify" vertical="center" textRotation="90"/>
    </xf>
    <xf numFmtId="0" fontId="3" fillId="0" borderId="14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9" fontId="10" fillId="0" borderId="14" xfId="0" applyNumberFormat="1" applyFont="1" applyBorder="1" applyAlignment="1">
      <alignment horizontal="justify" vertical="center" textRotation="90" wrapText="1"/>
    </xf>
    <xf numFmtId="0" fontId="10" fillId="0" borderId="13" xfId="0" applyFont="1" applyBorder="1" applyAlignment="1">
      <alignment horizontal="justify" vertical="center" textRotation="90"/>
    </xf>
    <xf numFmtId="0" fontId="9" fillId="0" borderId="10" xfId="0" applyFont="1" applyBorder="1" applyAlignment="1">
      <alignment horizontal="justify" vertical="center" textRotation="90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 vertical="distributed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9" fontId="9" fillId="0" borderId="20" xfId="0" applyNumberFormat="1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9" fontId="9" fillId="0" borderId="14" xfId="0" applyNumberFormat="1" applyFont="1" applyBorder="1" applyAlignment="1">
      <alignment horizontal="center" vertical="center" textRotation="90"/>
    </xf>
    <xf numFmtId="9" fontId="9" fillId="0" borderId="14" xfId="0" applyNumberFormat="1" applyFont="1" applyBorder="1" applyAlignment="1">
      <alignment horizontal="center" vertical="center" textRotation="90" wrapText="1"/>
    </xf>
    <xf numFmtId="9" fontId="9" fillId="0" borderId="20" xfId="0" applyNumberFormat="1" applyFont="1" applyBorder="1" applyAlignment="1">
      <alignment horizontal="center" vertical="center" textRotation="90" wrapText="1"/>
    </xf>
    <xf numFmtId="9" fontId="9" fillId="0" borderId="11" xfId="0" applyNumberFormat="1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7" fillId="0" borderId="0" xfId="0" applyFont="1" applyAlignment="1">
      <alignment horizontal="justify" vertical="center" wrapText="1"/>
    </xf>
    <xf numFmtId="0" fontId="122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97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justify" vertical="center" textRotation="90" wrapText="1"/>
    </xf>
    <xf numFmtId="0" fontId="9" fillId="0" borderId="15" xfId="0" applyFont="1" applyBorder="1" applyAlignment="1">
      <alignment horizontal="justify" vertical="center" textRotation="90" wrapText="1"/>
    </xf>
    <xf numFmtId="0" fontId="9" fillId="0" borderId="16" xfId="0" applyFont="1" applyBorder="1" applyAlignment="1">
      <alignment horizontal="justify" vertical="center" textRotation="90" wrapText="1"/>
    </xf>
    <xf numFmtId="0" fontId="97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textRotation="90"/>
    </xf>
    <xf numFmtId="0" fontId="9" fillId="0" borderId="14" xfId="0" applyFont="1" applyBorder="1" applyAlignment="1">
      <alignment horizontal="justify" vertical="center" textRotation="90"/>
    </xf>
    <xf numFmtId="0" fontId="9" fillId="0" borderId="20" xfId="0" applyFont="1" applyBorder="1" applyAlignment="1">
      <alignment horizontal="justify" vertical="center" textRotation="90"/>
    </xf>
    <xf numFmtId="0" fontId="9" fillId="0" borderId="11" xfId="0" applyFont="1" applyBorder="1" applyAlignment="1">
      <alignment horizontal="justify" vertical="center" textRotation="90"/>
    </xf>
    <xf numFmtId="0" fontId="9" fillId="0" borderId="14" xfId="0" applyFont="1" applyBorder="1" applyAlignment="1">
      <alignment horizontal="center" vertical="center" textRotation="90"/>
    </xf>
    <xf numFmtId="1" fontId="9" fillId="0" borderId="15" xfId="0" applyNumberFormat="1" applyFont="1" applyBorder="1" applyAlignment="1">
      <alignment horizontal="justify" vertical="center"/>
    </xf>
    <xf numFmtId="1" fontId="9" fillId="0" borderId="16" xfId="0" applyNumberFormat="1" applyFont="1" applyBorder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9" fontId="9" fillId="0" borderId="14" xfId="0" applyNumberFormat="1" applyFont="1" applyBorder="1" applyAlignment="1">
      <alignment horizontal="justify" vertical="center" textRotation="90"/>
    </xf>
    <xf numFmtId="0" fontId="3" fillId="0" borderId="13" xfId="0" applyFont="1" applyBorder="1" applyAlignment="1">
      <alignment horizontal="justify" vertical="center" textRotation="90"/>
    </xf>
    <xf numFmtId="0" fontId="3" fillId="0" borderId="15" xfId="0" applyFont="1" applyBorder="1" applyAlignment="1">
      <alignment horizontal="justify" vertical="center" textRotation="90"/>
    </xf>
    <xf numFmtId="0" fontId="3" fillId="0" borderId="16" xfId="0" applyFont="1" applyBorder="1" applyAlignment="1">
      <alignment horizontal="justify" vertical="center" textRotation="90"/>
    </xf>
    <xf numFmtId="1" fontId="12" fillId="0" borderId="10" xfId="0" applyNumberFormat="1" applyFont="1" applyBorder="1" applyAlignment="1">
      <alignment horizontal="justify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/>
    </xf>
    <xf numFmtId="9" fontId="10" fillId="0" borderId="14" xfId="0" applyNumberFormat="1" applyFont="1" applyBorder="1" applyAlignment="1">
      <alignment horizontal="justify" textRotation="90"/>
    </xf>
    <xf numFmtId="9" fontId="10" fillId="0" borderId="20" xfId="0" applyNumberFormat="1" applyFont="1" applyBorder="1" applyAlignment="1">
      <alignment horizontal="justify" textRotation="90"/>
    </xf>
    <xf numFmtId="9" fontId="10" fillId="0" borderId="11" xfId="0" applyNumberFormat="1" applyFont="1" applyBorder="1" applyAlignment="1">
      <alignment horizontal="justify" textRotation="90"/>
    </xf>
    <xf numFmtId="0" fontId="9" fillId="0" borderId="14" xfId="0" applyFont="1" applyBorder="1" applyAlignment="1">
      <alignment horizontal="justify" textRotation="90"/>
    </xf>
    <xf numFmtId="0" fontId="9" fillId="0" borderId="20" xfId="0" applyFont="1" applyBorder="1" applyAlignment="1">
      <alignment horizontal="justify" textRotation="90"/>
    </xf>
    <xf numFmtId="0" fontId="9" fillId="0" borderId="11" xfId="0" applyFont="1" applyBorder="1" applyAlignment="1">
      <alignment horizontal="justify" textRotation="90"/>
    </xf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0" fontId="98" fillId="0" borderId="13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8" fillId="0" borderId="13" xfId="0" applyFont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30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98" fillId="0" borderId="31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102" fillId="0" borderId="14" xfId="0" applyFont="1" applyBorder="1" applyAlignment="1">
      <alignment horizontal="justify" textRotation="90"/>
    </xf>
    <xf numFmtId="0" fontId="102" fillId="0" borderId="20" xfId="0" applyFont="1" applyBorder="1" applyAlignment="1">
      <alignment horizontal="justify" textRotation="90"/>
    </xf>
    <xf numFmtId="0" fontId="102" fillId="0" borderId="11" xfId="0" applyFont="1" applyBorder="1" applyAlignment="1">
      <alignment horizontal="justify" textRotation="90"/>
    </xf>
    <xf numFmtId="0" fontId="102" fillId="0" borderId="14" xfId="0" applyFont="1" applyBorder="1" applyAlignment="1">
      <alignment horizontal="justify" vertical="center" textRotation="90"/>
    </xf>
    <xf numFmtId="0" fontId="102" fillId="0" borderId="20" xfId="0" applyFont="1" applyBorder="1" applyAlignment="1">
      <alignment horizontal="justify" vertical="center" textRotation="90"/>
    </xf>
    <xf numFmtId="0" fontId="102" fillId="0" borderId="11" xfId="0" applyFont="1" applyBorder="1" applyAlignment="1">
      <alignment horizontal="justify" vertical="center" textRotation="90"/>
    </xf>
    <xf numFmtId="0" fontId="102" fillId="0" borderId="20" xfId="0" applyFont="1" applyBorder="1" applyAlignment="1">
      <alignment horizontal="center" textRotation="90"/>
    </xf>
    <xf numFmtId="0" fontId="102" fillId="0" borderId="11" xfId="0" applyFont="1" applyBorder="1" applyAlignment="1">
      <alignment horizontal="center" textRotation="90"/>
    </xf>
    <xf numFmtId="9" fontId="102" fillId="0" borderId="14" xfId="0" applyNumberFormat="1" applyFont="1" applyBorder="1" applyAlignment="1">
      <alignment horizontal="justify" vertical="center" textRotation="90"/>
    </xf>
    <xf numFmtId="0" fontId="98" fillId="0" borderId="14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4" xfId="0" applyFont="1" applyBorder="1" applyAlignment="1">
      <alignment horizontal="justify" vertical="center"/>
    </xf>
    <xf numFmtId="0" fontId="98" fillId="0" borderId="11" xfId="0" applyFont="1" applyBorder="1" applyAlignment="1">
      <alignment horizontal="justify" vertical="center"/>
    </xf>
    <xf numFmtId="0" fontId="98" fillId="0" borderId="14" xfId="0" applyFont="1" applyBorder="1" applyAlignment="1">
      <alignment horizontal="right"/>
    </xf>
    <xf numFmtId="0" fontId="98" fillId="0" borderId="11" xfId="0" applyFont="1" applyBorder="1" applyAlignment="1">
      <alignment horizontal="right"/>
    </xf>
    <xf numFmtId="2" fontId="98" fillId="0" borderId="14" xfId="0" applyNumberFormat="1" applyFont="1" applyBorder="1" applyAlignment="1">
      <alignment horizontal="right"/>
    </xf>
    <xf numFmtId="2" fontId="98" fillId="0" borderId="11" xfId="0" applyNumberFormat="1" applyFont="1" applyBorder="1" applyAlignment="1">
      <alignment horizontal="right"/>
    </xf>
    <xf numFmtId="2" fontId="98" fillId="0" borderId="14" xfId="0" applyNumberFormat="1" applyFont="1" applyBorder="1" applyAlignment="1">
      <alignment horizontal="justify" vertical="center"/>
    </xf>
    <xf numFmtId="2" fontId="98" fillId="0" borderId="11" xfId="0" applyNumberFormat="1" applyFont="1" applyBorder="1" applyAlignment="1">
      <alignment horizontal="justify" vertical="center"/>
    </xf>
    <xf numFmtId="2" fontId="98" fillId="0" borderId="14" xfId="0" applyNumberFormat="1" applyFont="1" applyBorder="1" applyAlignment="1">
      <alignment horizontal="center"/>
    </xf>
    <xf numFmtId="2" fontId="98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96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textRotation="90"/>
    </xf>
    <xf numFmtId="9" fontId="3" fillId="0" borderId="10" xfId="0" applyNumberFormat="1" applyFont="1" applyBorder="1" applyAlignment="1">
      <alignment horizontal="justify" vertical="center" textRotation="90"/>
    </xf>
    <xf numFmtId="0" fontId="109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10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justify" vertical="center" textRotation="90" wrapText="1"/>
    </xf>
    <xf numFmtId="0" fontId="33" fillId="0" borderId="20" xfId="0" applyFont="1" applyBorder="1" applyAlignment="1">
      <alignment horizontal="justify" vertical="center" textRotation="90" wrapText="1"/>
    </xf>
    <xf numFmtId="0" fontId="33" fillId="0" borderId="11" xfId="0" applyFont="1" applyBorder="1" applyAlignment="1">
      <alignment horizontal="justify" vertical="center" textRotation="90" wrapText="1"/>
    </xf>
    <xf numFmtId="0" fontId="2" fillId="0" borderId="14" xfId="0" applyFont="1" applyBorder="1" applyAlignment="1">
      <alignment horizontal="justify" vertical="center" textRotation="90" wrapText="1"/>
    </xf>
    <xf numFmtId="0" fontId="2" fillId="0" borderId="20" xfId="0" applyFont="1" applyBorder="1" applyAlignment="1">
      <alignment horizontal="justify" vertical="center" textRotation="90" wrapText="1"/>
    </xf>
    <xf numFmtId="0" fontId="2" fillId="0" borderId="11" xfId="0" applyFont="1" applyBorder="1" applyAlignment="1">
      <alignment horizontal="justify" vertical="center" textRotation="90" wrapText="1"/>
    </xf>
    <xf numFmtId="0" fontId="13" fillId="0" borderId="14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33" fillId="0" borderId="14" xfId="0" applyFont="1" applyBorder="1" applyAlignment="1">
      <alignment horizontal="justify" vertical="center" textRotation="90"/>
    </xf>
    <xf numFmtId="0" fontId="33" fillId="0" borderId="20" xfId="0" applyFont="1" applyBorder="1" applyAlignment="1">
      <alignment horizontal="justify" vertical="center" textRotation="90"/>
    </xf>
    <xf numFmtId="0" fontId="33" fillId="0" borderId="11" xfId="0" applyFont="1" applyBorder="1" applyAlignment="1">
      <alignment horizontal="justify" vertical="center" textRotation="90"/>
    </xf>
    <xf numFmtId="9" fontId="13" fillId="0" borderId="14" xfId="0" applyNumberFormat="1" applyFont="1" applyBorder="1" applyAlignment="1">
      <alignment horizontal="justify" vertical="center" textRotation="90"/>
    </xf>
    <xf numFmtId="0" fontId="13" fillId="0" borderId="20" xfId="0" applyFont="1" applyBorder="1" applyAlignment="1">
      <alignment horizontal="justify" vertical="center" textRotation="90"/>
    </xf>
    <xf numFmtId="0" fontId="13" fillId="0" borderId="11" xfId="0" applyFont="1" applyBorder="1" applyAlignment="1">
      <alignment horizontal="justify" vertical="center" textRotation="90"/>
    </xf>
    <xf numFmtId="0" fontId="13" fillId="0" borderId="14" xfId="0" applyFont="1" applyBorder="1" applyAlignment="1">
      <alignment horizontal="justify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N7" sqref="N7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15815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BB431"/>
  <sheetViews>
    <sheetView view="pageBreakPreview" zoomScale="40" zoomScaleNormal="80" zoomScaleSheetLayoutView="40" zoomScalePageLayoutView="0" workbookViewId="0" topLeftCell="A3">
      <selection activeCell="A110" sqref="A110"/>
    </sheetView>
  </sheetViews>
  <sheetFormatPr defaultColWidth="9.125" defaultRowHeight="12.75"/>
  <cols>
    <col min="1" max="1" width="4.375" style="9" customWidth="1"/>
    <col min="2" max="2" width="36.125" style="9" customWidth="1"/>
    <col min="3" max="3" width="9.50390625" style="53" customWidth="1"/>
    <col min="4" max="4" width="8.50390625" style="9" customWidth="1"/>
    <col min="5" max="5" width="6.625" style="9" customWidth="1"/>
    <col min="6" max="6" width="5.125" style="9" customWidth="1"/>
    <col min="7" max="7" width="12.625" style="9" customWidth="1"/>
    <col min="8" max="8" width="11.375" style="9" customWidth="1"/>
    <col min="9" max="9" width="9.125" style="9" customWidth="1"/>
    <col min="10" max="10" width="9.625" style="9" customWidth="1"/>
    <col min="11" max="11" width="10.625" style="9" customWidth="1"/>
    <col min="12" max="12" width="10.125" style="9" customWidth="1"/>
    <col min="13" max="13" width="11.50390625" style="9" customWidth="1"/>
    <col min="14" max="14" width="11.00390625" style="9" customWidth="1"/>
    <col min="15" max="15" width="9.50390625" style="9" customWidth="1"/>
    <col min="16" max="16" width="10.00390625" style="9" customWidth="1"/>
    <col min="17" max="17" width="10.125" style="9" customWidth="1"/>
    <col min="18" max="18" width="11.50390625" style="9" customWidth="1"/>
    <col min="19" max="19" width="12.00390625" style="9" customWidth="1"/>
    <col min="20" max="20" width="13.50390625" style="9" customWidth="1"/>
    <col min="21" max="21" width="12.625" style="9" customWidth="1"/>
    <col min="22" max="22" width="11.375" style="9" customWidth="1"/>
    <col min="23" max="23" width="12.625" style="9" customWidth="1"/>
    <col min="24" max="24" width="15.125" style="9" customWidth="1"/>
    <col min="25" max="25" width="12.125" style="9" customWidth="1"/>
    <col min="26" max="26" width="7.375" style="9" customWidth="1"/>
    <col min="27" max="27" width="6.50390625" style="9" customWidth="1"/>
    <col min="28" max="28" width="5.50390625" style="9" customWidth="1"/>
    <col min="29" max="29" width="13.50390625" style="9" customWidth="1"/>
    <col min="30" max="30" width="9.875" style="9" customWidth="1"/>
    <col min="31" max="31" width="7.625" style="9" customWidth="1"/>
    <col min="32" max="32" width="7.50390625" style="9" customWidth="1"/>
    <col min="33" max="16384" width="9.125" style="9" customWidth="1"/>
  </cols>
  <sheetData>
    <row r="1" ht="15" customHeight="1" hidden="1">
      <c r="O1" s="9" t="s">
        <v>14</v>
      </c>
    </row>
    <row r="2" spans="2:23" ht="0.75" customHeight="1">
      <c r="B2" s="10"/>
      <c r="D2" s="10"/>
      <c r="E2" s="30"/>
      <c r="F2" s="10"/>
      <c r="G2" s="10"/>
      <c r="H2" s="10"/>
      <c r="I2" s="10"/>
      <c r="J2" s="10"/>
      <c r="K2" s="10"/>
      <c r="L2" s="10"/>
      <c r="M2" s="10"/>
      <c r="N2" s="10"/>
      <c r="O2" s="9" t="s">
        <v>16</v>
      </c>
      <c r="P2" s="10"/>
      <c r="Q2" s="10"/>
      <c r="R2" s="10"/>
      <c r="S2" s="895" t="s">
        <v>32</v>
      </c>
      <c r="T2" s="895"/>
      <c r="U2" s="895"/>
      <c r="V2" s="895"/>
      <c r="W2" s="895"/>
    </row>
    <row r="3" spans="1:23" ht="20.25" customHeight="1">
      <c r="A3" s="154"/>
      <c r="B3" s="6"/>
      <c r="C3" s="166"/>
      <c r="D3" s="6"/>
      <c r="E3" s="6"/>
      <c r="F3" s="155"/>
      <c r="G3" s="155"/>
      <c r="H3" s="155"/>
      <c r="I3" s="6"/>
      <c r="J3" s="29"/>
      <c r="K3" s="6"/>
      <c r="L3" s="6"/>
      <c r="M3" s="6"/>
      <c r="N3" s="6"/>
      <c r="O3" s="6"/>
      <c r="P3" s="6"/>
      <c r="Q3" s="1" t="s">
        <v>102</v>
      </c>
      <c r="R3" s="156">
        <v>2</v>
      </c>
      <c r="S3" s="157"/>
      <c r="T3" s="3"/>
      <c r="U3" s="121"/>
      <c r="V3" s="1"/>
      <c r="W3" s="30"/>
    </row>
    <row r="4" spans="1:24" ht="30.75" customHeight="1">
      <c r="A4" s="154"/>
      <c r="B4" s="6"/>
      <c r="C4" s="166"/>
      <c r="D4" s="6"/>
      <c r="E4" s="6"/>
      <c r="F4" s="155"/>
      <c r="G4" s="155"/>
      <c r="H4" s="155"/>
      <c r="I4" s="6"/>
      <c r="J4" s="29"/>
      <c r="K4" s="6"/>
      <c r="L4" s="6"/>
      <c r="M4" s="6"/>
      <c r="N4" s="6"/>
      <c r="O4" s="6"/>
      <c r="P4" s="6"/>
      <c r="Q4" s="806" t="s">
        <v>103</v>
      </c>
      <c r="R4" s="806"/>
      <c r="S4" s="806"/>
      <c r="T4" s="806"/>
      <c r="U4" s="806"/>
      <c r="V4" s="806"/>
      <c r="W4" s="7"/>
      <c r="X4" s="7"/>
    </row>
    <row r="5" spans="1:23" ht="20.25" customHeight="1">
      <c r="A5" s="154"/>
      <c r="B5" s="6"/>
      <c r="C5" s="166"/>
      <c r="D5" s="6"/>
      <c r="E5" s="6"/>
      <c r="F5" s="155"/>
      <c r="G5" s="155"/>
      <c r="H5" s="155"/>
      <c r="I5" s="6"/>
      <c r="J5" s="29"/>
      <c r="K5" s="6"/>
      <c r="L5" s="6"/>
      <c r="M5" s="6"/>
      <c r="N5" s="6"/>
      <c r="O5" s="6"/>
      <c r="P5" s="6"/>
      <c r="Q5" s="807" t="s">
        <v>104</v>
      </c>
      <c r="R5" s="807"/>
      <c r="S5" s="807"/>
      <c r="T5" s="153" t="s">
        <v>0</v>
      </c>
      <c r="U5" s="159"/>
      <c r="V5" s="153"/>
      <c r="W5" s="8"/>
    </row>
    <row r="6" spans="1:24" ht="57.75" customHeight="1">
      <c r="A6" s="154"/>
      <c r="B6" s="6"/>
      <c r="C6" s="166"/>
      <c r="D6" s="6"/>
      <c r="E6" s="6"/>
      <c r="F6" s="155"/>
      <c r="G6" s="155"/>
      <c r="H6" s="155"/>
      <c r="I6" s="6"/>
      <c r="J6" s="29"/>
      <c r="K6" s="6"/>
      <c r="L6" s="6"/>
      <c r="M6" s="6"/>
      <c r="N6" s="6"/>
      <c r="O6" s="6"/>
      <c r="P6" s="6"/>
      <c r="Q6" s="808" t="s">
        <v>139</v>
      </c>
      <c r="R6" s="808"/>
      <c r="S6" s="808"/>
      <c r="T6" s="808"/>
      <c r="U6" s="808"/>
      <c r="V6" s="808"/>
      <c r="W6" s="8"/>
      <c r="X6" s="8"/>
    </row>
    <row r="7" spans="16:21" ht="12" customHeight="1">
      <c r="P7" s="95"/>
      <c r="Q7" s="95"/>
      <c r="R7" s="95"/>
      <c r="S7" s="95"/>
      <c r="T7" s="96"/>
      <c r="U7" s="32"/>
    </row>
    <row r="8" spans="2:23" ht="17.25">
      <c r="B8" s="805" t="s">
        <v>164</v>
      </c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47"/>
      <c r="P8" s="47"/>
      <c r="Q8" s="47"/>
      <c r="R8" s="47"/>
      <c r="S8" s="47"/>
      <c r="T8" s="32"/>
      <c r="U8" s="32"/>
      <c r="V8" s="32"/>
      <c r="W8" s="32"/>
    </row>
    <row r="9" spans="2:23" ht="39.75" customHeight="1">
      <c r="B9" s="880" t="s">
        <v>94</v>
      </c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2"/>
      <c r="O9" s="32"/>
      <c r="P9" s="32"/>
      <c r="Q9" s="32"/>
      <c r="R9" s="32"/>
      <c r="S9" s="32"/>
      <c r="T9" s="32"/>
      <c r="U9" s="32"/>
      <c r="V9" s="32"/>
      <c r="W9" s="32"/>
    </row>
    <row r="10" spans="1:23" ht="13.5">
      <c r="A10" s="6"/>
      <c r="B10" s="898" t="s">
        <v>7</v>
      </c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 hidden="1">
      <c r="A11" s="6"/>
      <c r="B11" s="3"/>
      <c r="C11" s="162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3.5">
      <c r="A12" s="6"/>
      <c r="B12" s="3" t="s">
        <v>145</v>
      </c>
      <c r="C12" s="162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5" customHeight="1">
      <c r="A13" s="6"/>
      <c r="B13" s="900" t="s">
        <v>144</v>
      </c>
      <c r="C13" s="900"/>
      <c r="D13" s="900"/>
      <c r="E13" s="3"/>
      <c r="F13" s="3"/>
      <c r="G13" s="3"/>
      <c r="H13" s="3"/>
      <c r="I13" s="3"/>
      <c r="J13" s="3"/>
      <c r="K13" s="3"/>
      <c r="L13" s="3"/>
      <c r="M13" s="3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6.75" customHeight="1" hidden="1">
      <c r="A14" s="6"/>
      <c r="B14" s="6"/>
      <c r="C14" s="16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3.5" hidden="1">
      <c r="A15" s="6"/>
      <c r="B15" s="829"/>
      <c r="C15" s="829"/>
      <c r="D15" s="82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25.5" customHeight="1">
      <c r="A16" s="855" t="s">
        <v>0</v>
      </c>
      <c r="B16" s="66" t="s">
        <v>1</v>
      </c>
      <c r="C16" s="890" t="s">
        <v>117</v>
      </c>
      <c r="D16" s="67" t="s">
        <v>2</v>
      </c>
      <c r="E16" s="848" t="s">
        <v>34</v>
      </c>
      <c r="F16" s="848" t="s">
        <v>35</v>
      </c>
      <c r="G16" s="845" t="s">
        <v>38</v>
      </c>
      <c r="H16" s="845" t="s">
        <v>39</v>
      </c>
      <c r="I16" s="902" t="s">
        <v>31</v>
      </c>
      <c r="J16" s="903"/>
      <c r="K16" s="903"/>
      <c r="L16" s="904"/>
      <c r="M16" s="852" t="s">
        <v>33</v>
      </c>
      <c r="N16" s="853"/>
      <c r="O16" s="853"/>
      <c r="P16" s="854"/>
      <c r="Q16" s="852" t="s">
        <v>19</v>
      </c>
      <c r="R16" s="853"/>
      <c r="S16" s="854"/>
      <c r="T16" s="835" t="s">
        <v>100</v>
      </c>
      <c r="U16" s="835" t="s">
        <v>40</v>
      </c>
      <c r="V16" s="826" t="s">
        <v>143</v>
      </c>
      <c r="W16" s="68"/>
    </row>
    <row r="17" spans="1:23" s="1" customFormat="1" ht="12.75" customHeight="1">
      <c r="A17" s="856"/>
      <c r="B17" s="70" t="s">
        <v>18</v>
      </c>
      <c r="C17" s="891"/>
      <c r="D17" s="70" t="s">
        <v>3</v>
      </c>
      <c r="E17" s="848"/>
      <c r="F17" s="848"/>
      <c r="G17" s="846"/>
      <c r="H17" s="846"/>
      <c r="I17" s="811"/>
      <c r="J17" s="811" t="s">
        <v>26</v>
      </c>
      <c r="K17" s="811" t="s">
        <v>36</v>
      </c>
      <c r="L17" s="811" t="s">
        <v>30</v>
      </c>
      <c r="M17" s="812" t="s">
        <v>22</v>
      </c>
      <c r="N17" s="818"/>
      <c r="O17" s="876"/>
      <c r="P17" s="901" t="s">
        <v>43</v>
      </c>
      <c r="Q17" s="811" t="s">
        <v>20</v>
      </c>
      <c r="R17" s="819" t="s">
        <v>41</v>
      </c>
      <c r="S17" s="811" t="s">
        <v>21</v>
      </c>
      <c r="T17" s="836"/>
      <c r="U17" s="836"/>
      <c r="V17" s="827"/>
      <c r="W17" s="68"/>
    </row>
    <row r="18" spans="1:23" s="1" customFormat="1" ht="36" customHeight="1">
      <c r="A18" s="856"/>
      <c r="B18" s="70"/>
      <c r="C18" s="891"/>
      <c r="D18" s="70" t="s">
        <v>4</v>
      </c>
      <c r="E18" s="848"/>
      <c r="F18" s="848"/>
      <c r="G18" s="846"/>
      <c r="H18" s="846"/>
      <c r="I18" s="812"/>
      <c r="J18" s="812"/>
      <c r="K18" s="812"/>
      <c r="L18" s="812"/>
      <c r="M18" s="812"/>
      <c r="N18" s="812"/>
      <c r="O18" s="842"/>
      <c r="P18" s="901"/>
      <c r="Q18" s="812"/>
      <c r="R18" s="820"/>
      <c r="S18" s="812"/>
      <c r="T18" s="836"/>
      <c r="U18" s="836"/>
      <c r="V18" s="827"/>
      <c r="W18" s="68"/>
    </row>
    <row r="19" spans="1:23" s="1" customFormat="1" ht="58.5" customHeight="1">
      <c r="A19" s="69"/>
      <c r="B19" s="70"/>
      <c r="C19" s="891"/>
      <c r="D19" s="70"/>
      <c r="E19" s="848"/>
      <c r="F19" s="848"/>
      <c r="G19" s="846"/>
      <c r="H19" s="846"/>
      <c r="I19" s="812"/>
      <c r="J19" s="812"/>
      <c r="K19" s="812"/>
      <c r="L19" s="812"/>
      <c r="M19" s="812"/>
      <c r="N19" s="812"/>
      <c r="O19" s="842"/>
      <c r="P19" s="901"/>
      <c r="Q19" s="812"/>
      <c r="R19" s="820"/>
      <c r="S19" s="812"/>
      <c r="T19" s="836"/>
      <c r="U19" s="836"/>
      <c r="V19" s="827"/>
      <c r="W19" s="68"/>
    </row>
    <row r="20" spans="1:23" s="1" customFormat="1" ht="27.75" customHeight="1">
      <c r="A20" s="71"/>
      <c r="B20" s="72"/>
      <c r="C20" s="892"/>
      <c r="D20" s="73"/>
      <c r="E20" s="848"/>
      <c r="F20" s="848"/>
      <c r="G20" s="847"/>
      <c r="H20" s="847"/>
      <c r="I20" s="813"/>
      <c r="J20" s="813"/>
      <c r="K20" s="813"/>
      <c r="L20" s="813"/>
      <c r="M20" s="813"/>
      <c r="N20" s="813"/>
      <c r="O20" s="843"/>
      <c r="P20" s="901"/>
      <c r="Q20" s="813"/>
      <c r="R20" s="821"/>
      <c r="S20" s="813"/>
      <c r="T20" s="837"/>
      <c r="U20" s="837"/>
      <c r="V20" s="828"/>
      <c r="W20" s="68"/>
    </row>
    <row r="21" spans="1:23" s="1" customFormat="1" ht="21.75" customHeight="1">
      <c r="A21" s="74">
        <v>1</v>
      </c>
      <c r="B21" s="75" t="s">
        <v>37</v>
      </c>
      <c r="C21" s="74" t="s">
        <v>118</v>
      </c>
      <c r="D21" s="74">
        <v>1</v>
      </c>
      <c r="E21" s="76">
        <v>8071</v>
      </c>
      <c r="F21" s="76">
        <v>16</v>
      </c>
      <c r="G21" s="77">
        <f>E21*D21</f>
        <v>8071</v>
      </c>
      <c r="H21" s="77">
        <f>G21*10%</f>
        <v>807.1</v>
      </c>
      <c r="I21" s="78"/>
      <c r="J21" s="78"/>
      <c r="K21" s="78">
        <f aca="true" t="shared" si="0" ref="K21:K27">G21*20%</f>
        <v>1614.2</v>
      </c>
      <c r="L21" s="78"/>
      <c r="M21" s="78">
        <f>(G21+H21+K21+L21)*30%</f>
        <v>3147.69</v>
      </c>
      <c r="N21" s="78"/>
      <c r="O21" s="78"/>
      <c r="P21" s="79">
        <f>(G21+H21+J21+K21+L21)*10%</f>
        <v>1049.2300000000002</v>
      </c>
      <c r="Q21" s="78"/>
      <c r="R21" s="78"/>
      <c r="S21" s="79"/>
      <c r="T21" s="80"/>
      <c r="U21" s="81">
        <f>G21+H21+I21+J21+K21+L21+M21+P21+Q21+R21+S21+T21</f>
        <v>14689.220000000001</v>
      </c>
      <c r="V21" s="81">
        <f>(U21*12)*1.168+G21+G21*5%</f>
        <v>214358.65751999998</v>
      </c>
      <c r="W21" s="82"/>
    </row>
    <row r="22" spans="1:30" s="1" customFormat="1" ht="21.75" customHeight="1">
      <c r="A22" s="83">
        <v>2</v>
      </c>
      <c r="B22" s="84" t="s">
        <v>11</v>
      </c>
      <c r="C22" s="74" t="s">
        <v>119</v>
      </c>
      <c r="D22" s="83">
        <v>1</v>
      </c>
      <c r="E22" s="76">
        <v>7001</v>
      </c>
      <c r="F22" s="76">
        <v>14</v>
      </c>
      <c r="G22" s="77">
        <f>E22*D22</f>
        <v>7001</v>
      </c>
      <c r="H22" s="77">
        <f aca="true" t="shared" si="1" ref="H22:H28">G22*10%</f>
        <v>700.1</v>
      </c>
      <c r="I22" s="78"/>
      <c r="J22" s="85"/>
      <c r="K22" s="78">
        <f t="shared" si="0"/>
        <v>1400.2</v>
      </c>
      <c r="L22" s="85">
        <f>E22*D22*10%</f>
        <v>700.1</v>
      </c>
      <c r="M22" s="78">
        <f>(G22+H22+K22+L22)*30%</f>
        <v>2940.4200000000005</v>
      </c>
      <c r="N22" s="85"/>
      <c r="O22" s="85"/>
      <c r="P22" s="79">
        <f>(G22+H22+J22+K22+L22)*10%</f>
        <v>980.1400000000002</v>
      </c>
      <c r="Q22" s="85"/>
      <c r="R22" s="85"/>
      <c r="S22" s="79"/>
      <c r="T22" s="80"/>
      <c r="U22" s="81">
        <f>G22+H22+I22+J22+K22+L22+M22+P22+Q22+R22+S22+T22</f>
        <v>13721.960000000001</v>
      </c>
      <c r="V22" s="81">
        <f aca="true" t="shared" si="2" ref="V22:V49">(U22*12)*1.168+G22+G22*5%</f>
        <v>199678.04136</v>
      </c>
      <c r="W22" s="82"/>
      <c r="X22" s="899"/>
      <c r="Y22" s="899"/>
      <c r="Z22" s="899"/>
      <c r="AA22" s="899"/>
      <c r="AB22" s="899"/>
      <c r="AC22" s="899"/>
      <c r="AD22" s="899"/>
    </row>
    <row r="23" spans="1:23" s="1" customFormat="1" ht="13.5">
      <c r="A23" s="896">
        <v>3</v>
      </c>
      <c r="B23" s="859" t="s">
        <v>27</v>
      </c>
      <c r="C23" s="74" t="s">
        <v>120</v>
      </c>
      <c r="D23" s="83">
        <v>1</v>
      </c>
      <c r="E23" s="76">
        <v>5005</v>
      </c>
      <c r="F23" s="76">
        <v>9</v>
      </c>
      <c r="G23" s="77">
        <f>E23*D23</f>
        <v>5005</v>
      </c>
      <c r="H23" s="77">
        <f t="shared" si="1"/>
        <v>500.5</v>
      </c>
      <c r="I23" s="78"/>
      <c r="J23" s="85"/>
      <c r="K23" s="78">
        <f t="shared" si="0"/>
        <v>1001</v>
      </c>
      <c r="L23" s="85"/>
      <c r="M23" s="78">
        <f>(G23+H23+K23+L23)*10%</f>
        <v>650.6500000000001</v>
      </c>
      <c r="N23" s="85"/>
      <c r="O23" s="85"/>
      <c r="P23" s="79">
        <f>(G23+H23+J23+K23+L23)*10%</f>
        <v>650.6500000000001</v>
      </c>
      <c r="Q23" s="85"/>
      <c r="R23" s="85"/>
      <c r="S23" s="79"/>
      <c r="T23" s="80"/>
      <c r="U23" s="81">
        <f aca="true" t="shared" si="3" ref="U23:U48">G23+H23+I23+J23+K23+L23+M23+P23+Q23+R23+S23+T23</f>
        <v>7807.799999999999</v>
      </c>
      <c r="V23" s="81">
        <f t="shared" si="2"/>
        <v>114689.37479999998</v>
      </c>
      <c r="W23" s="82"/>
    </row>
    <row r="24" spans="1:23" ht="15" customHeight="1" hidden="1">
      <c r="A24" s="897"/>
      <c r="B24" s="860"/>
      <c r="C24" s="161"/>
      <c r="D24" s="83"/>
      <c r="E24" s="76">
        <v>3200</v>
      </c>
      <c r="F24" s="76"/>
      <c r="G24" s="77">
        <f>E24*D24</f>
        <v>0</v>
      </c>
      <c r="H24" s="77">
        <f t="shared" si="1"/>
        <v>0</v>
      </c>
      <c r="I24" s="78"/>
      <c r="J24" s="85"/>
      <c r="K24" s="78">
        <f t="shared" si="0"/>
        <v>0</v>
      </c>
      <c r="L24" s="85"/>
      <c r="M24" s="78">
        <f>(G24+H24+K24+L24)*30%</f>
        <v>0</v>
      </c>
      <c r="N24" s="85"/>
      <c r="O24" s="85"/>
      <c r="P24" s="79">
        <f aca="true" t="shared" si="4" ref="P24:P36">(G24+H24+J24+K24+L24)*10%</f>
        <v>0</v>
      </c>
      <c r="Q24" s="85"/>
      <c r="R24" s="85"/>
      <c r="S24" s="79"/>
      <c r="T24" s="80"/>
      <c r="U24" s="81">
        <f t="shared" si="3"/>
        <v>0</v>
      </c>
      <c r="V24" s="81">
        <f t="shared" si="2"/>
        <v>0</v>
      </c>
      <c r="W24" s="33"/>
    </row>
    <row r="25" spans="1:23" s="1" customFormat="1" ht="22.5" customHeight="1">
      <c r="A25" s="74">
        <v>4</v>
      </c>
      <c r="B25" s="86" t="s">
        <v>135</v>
      </c>
      <c r="C25" s="152">
        <v>3475</v>
      </c>
      <c r="D25" s="83">
        <v>0.75</v>
      </c>
      <c r="E25" s="76">
        <v>5265</v>
      </c>
      <c r="F25" s="76">
        <v>10</v>
      </c>
      <c r="G25" s="77">
        <f>E25*D25</f>
        <v>3948.75</v>
      </c>
      <c r="H25" s="77">
        <f t="shared" si="1"/>
        <v>394.875</v>
      </c>
      <c r="I25" s="78"/>
      <c r="J25" s="85"/>
      <c r="K25" s="78">
        <f t="shared" si="0"/>
        <v>789.75</v>
      </c>
      <c r="L25" s="85"/>
      <c r="M25" s="78">
        <f>(G25+H25+I25+J25+K25+L25)*10%</f>
        <v>513.3375</v>
      </c>
      <c r="N25" s="85"/>
      <c r="O25" s="85"/>
      <c r="P25" s="79">
        <f t="shared" si="4"/>
        <v>513.3375</v>
      </c>
      <c r="Q25" s="85"/>
      <c r="R25" s="85"/>
      <c r="S25" s="79"/>
      <c r="T25" s="80"/>
      <c r="U25" s="81">
        <f t="shared" si="3"/>
        <v>6160.049999999999</v>
      </c>
      <c r="V25" s="81">
        <f t="shared" si="2"/>
        <v>90485.44829999999</v>
      </c>
      <c r="W25" s="82"/>
    </row>
    <row r="26" spans="1:23" s="1" customFormat="1" ht="13.5">
      <c r="A26" s="83">
        <v>5</v>
      </c>
      <c r="B26" s="84" t="s">
        <v>13</v>
      </c>
      <c r="C26" s="83" t="s">
        <v>121</v>
      </c>
      <c r="D26" s="83">
        <v>0.5</v>
      </c>
      <c r="E26" s="76">
        <v>7001</v>
      </c>
      <c r="F26" s="76">
        <v>14</v>
      </c>
      <c r="G26" s="77">
        <f aca="true" t="shared" si="5" ref="G26:G49">E26*D26</f>
        <v>3500.5</v>
      </c>
      <c r="H26" s="77">
        <f t="shared" si="1"/>
        <v>350.05</v>
      </c>
      <c r="I26" s="85"/>
      <c r="J26" s="85"/>
      <c r="K26" s="78">
        <f t="shared" si="0"/>
        <v>700.1</v>
      </c>
      <c r="L26" s="17"/>
      <c r="M26" s="78">
        <f>(G26+H26+I26+J26+K26+L26)*20%</f>
        <v>910.1300000000001</v>
      </c>
      <c r="N26" s="17"/>
      <c r="O26" s="17"/>
      <c r="P26" s="79">
        <f t="shared" si="4"/>
        <v>455.06500000000005</v>
      </c>
      <c r="Q26" s="85"/>
      <c r="R26" s="85"/>
      <c r="S26" s="79"/>
      <c r="T26" s="80"/>
      <c r="U26" s="81">
        <f t="shared" si="3"/>
        <v>5915.845000000001</v>
      </c>
      <c r="V26" s="81">
        <f t="shared" si="2"/>
        <v>86592.00852</v>
      </c>
      <c r="W26" s="82"/>
    </row>
    <row r="27" spans="1:23" s="1" customFormat="1" ht="13.5">
      <c r="A27" s="83">
        <v>6</v>
      </c>
      <c r="B27" s="84" t="s">
        <v>13</v>
      </c>
      <c r="C27" s="83" t="s">
        <v>138</v>
      </c>
      <c r="D27" s="83">
        <v>0.5</v>
      </c>
      <c r="E27" s="76">
        <v>5699</v>
      </c>
      <c r="F27" s="76">
        <v>11</v>
      </c>
      <c r="G27" s="77">
        <f t="shared" si="5"/>
        <v>2849.5</v>
      </c>
      <c r="H27" s="77">
        <f t="shared" si="1"/>
        <v>284.95</v>
      </c>
      <c r="I27" s="85"/>
      <c r="J27" s="85"/>
      <c r="K27" s="78">
        <f t="shared" si="0"/>
        <v>569.9</v>
      </c>
      <c r="L27" s="17"/>
      <c r="M27" s="78">
        <f>(G27+H27+I27+J27+K27+L27)*10%</f>
        <v>370.435</v>
      </c>
      <c r="N27" s="17"/>
      <c r="O27" s="17"/>
      <c r="P27" s="79">
        <f t="shared" si="4"/>
        <v>370.435</v>
      </c>
      <c r="Q27" s="17"/>
      <c r="R27" s="17"/>
      <c r="S27" s="26"/>
      <c r="T27" s="18"/>
      <c r="U27" s="81">
        <f t="shared" si="3"/>
        <v>4445.22</v>
      </c>
      <c r="V27" s="81">
        <f t="shared" si="2"/>
        <v>65296.178519999994</v>
      </c>
      <c r="W27" s="82"/>
    </row>
    <row r="28" spans="1:23" s="1" customFormat="1" ht="18" customHeight="1">
      <c r="A28" s="83">
        <v>7</v>
      </c>
      <c r="B28" s="84" t="s">
        <v>15</v>
      </c>
      <c r="C28" s="83">
        <v>2340</v>
      </c>
      <c r="D28" s="83">
        <v>1</v>
      </c>
      <c r="E28" s="76">
        <v>5699</v>
      </c>
      <c r="F28" s="76">
        <v>11</v>
      </c>
      <c r="G28" s="77">
        <f>E28*D28</f>
        <v>5699</v>
      </c>
      <c r="H28" s="77">
        <f t="shared" si="1"/>
        <v>569.9</v>
      </c>
      <c r="I28" s="85"/>
      <c r="J28" s="85"/>
      <c r="K28" s="78">
        <f>(G28)*20%</f>
        <v>1139.8</v>
      </c>
      <c r="L28" s="85"/>
      <c r="M28" s="78">
        <f>(G28+H28+K28)*10%</f>
        <v>740.87</v>
      </c>
      <c r="N28" s="85"/>
      <c r="O28" s="85"/>
      <c r="P28" s="79">
        <f t="shared" si="4"/>
        <v>740.87</v>
      </c>
      <c r="Q28" s="85"/>
      <c r="R28" s="85"/>
      <c r="S28" s="79"/>
      <c r="T28" s="80"/>
      <c r="U28" s="81">
        <f t="shared" si="3"/>
        <v>8890.44</v>
      </c>
      <c r="V28" s="81">
        <f t="shared" si="2"/>
        <v>130592.35703999999</v>
      </c>
      <c r="W28" s="82"/>
    </row>
    <row r="29" spans="1:23" ht="15" customHeight="1" hidden="1">
      <c r="A29" s="23"/>
      <c r="B29" s="12"/>
      <c r="C29" s="23"/>
      <c r="D29" s="23"/>
      <c r="E29" s="24"/>
      <c r="F29" s="24"/>
      <c r="G29" s="25">
        <f t="shared" si="5"/>
        <v>0</v>
      </c>
      <c r="H29" s="25">
        <f>G29*10%</f>
        <v>0</v>
      </c>
      <c r="I29" s="19"/>
      <c r="J29" s="17"/>
      <c r="K29" s="17">
        <f>E29*0.5*20%</f>
        <v>0</v>
      </c>
      <c r="L29" s="17"/>
      <c r="M29" s="16">
        <f>(G29+H29+K29)*10%</f>
        <v>0</v>
      </c>
      <c r="N29" s="17"/>
      <c r="O29" s="17"/>
      <c r="P29" s="26">
        <f t="shared" si="4"/>
        <v>0</v>
      </c>
      <c r="Q29" s="17"/>
      <c r="R29" s="17"/>
      <c r="S29" s="16"/>
      <c r="T29" s="18">
        <f>5000*D29-G29-H29-J29-K29-L29-M29-P29</f>
        <v>0</v>
      </c>
      <c r="U29" s="19">
        <f t="shared" si="3"/>
        <v>0</v>
      </c>
      <c r="V29" s="81">
        <f t="shared" si="2"/>
        <v>0</v>
      </c>
      <c r="W29" s="33"/>
    </row>
    <row r="30" spans="1:23" s="1" customFormat="1" ht="34.5" customHeight="1">
      <c r="A30" s="83">
        <v>8</v>
      </c>
      <c r="B30" s="180" t="s">
        <v>129</v>
      </c>
      <c r="C30" s="83">
        <v>3231</v>
      </c>
      <c r="D30" s="83">
        <v>1</v>
      </c>
      <c r="E30" s="76">
        <v>4195</v>
      </c>
      <c r="F30" s="76">
        <v>6</v>
      </c>
      <c r="G30" s="77">
        <f t="shared" si="5"/>
        <v>4195</v>
      </c>
      <c r="H30" s="77"/>
      <c r="I30" s="78"/>
      <c r="J30" s="85"/>
      <c r="K30" s="85"/>
      <c r="L30" s="85">
        <f>G30*10%</f>
        <v>419.5</v>
      </c>
      <c r="M30" s="78">
        <f>(G30+H30+L30)*10%</f>
        <v>461.45000000000005</v>
      </c>
      <c r="N30" s="85"/>
      <c r="O30" s="85"/>
      <c r="P30" s="79"/>
      <c r="Q30" s="85"/>
      <c r="R30" s="85"/>
      <c r="S30" s="78"/>
      <c r="T30" s="80">
        <f>6700*D30-G30-H30-K30-L30-M30</f>
        <v>1624.05</v>
      </c>
      <c r="U30" s="81">
        <f>G30+H30+I30+J30+K30+L30+M30+P30+Q30+R30+S30+T30</f>
        <v>6700</v>
      </c>
      <c r="V30" s="81">
        <f t="shared" si="2"/>
        <v>98311.95</v>
      </c>
      <c r="W30" s="82"/>
    </row>
    <row r="31" spans="1:23" s="1" customFormat="1" ht="34.5" customHeight="1">
      <c r="A31" s="83">
        <v>9</v>
      </c>
      <c r="B31" s="86" t="s">
        <v>130</v>
      </c>
      <c r="C31" s="152">
        <v>3231</v>
      </c>
      <c r="D31" s="83">
        <v>0.75</v>
      </c>
      <c r="E31" s="76">
        <v>4195</v>
      </c>
      <c r="F31" s="76">
        <v>6</v>
      </c>
      <c r="G31" s="77">
        <f t="shared" si="5"/>
        <v>3146.25</v>
      </c>
      <c r="H31" s="77"/>
      <c r="I31" s="78"/>
      <c r="J31" s="85"/>
      <c r="K31" s="85"/>
      <c r="L31" s="85"/>
      <c r="M31" s="78">
        <f>(G31+H31)*30%</f>
        <v>943.875</v>
      </c>
      <c r="N31" s="85"/>
      <c r="O31" s="85"/>
      <c r="P31" s="79"/>
      <c r="Q31" s="85"/>
      <c r="R31" s="85"/>
      <c r="S31" s="78"/>
      <c r="T31" s="80">
        <f>6700*D31-G31-H31-K31-L31-M31</f>
        <v>934.875</v>
      </c>
      <c r="U31" s="81">
        <f>G31+H31+I31+J31+K31+L31+M31+P31+Q31+R31+S31+T31</f>
        <v>5025</v>
      </c>
      <c r="V31" s="81">
        <f t="shared" si="2"/>
        <v>73733.9625</v>
      </c>
      <c r="W31" s="82"/>
    </row>
    <row r="32" spans="1:23" s="1" customFormat="1" ht="44.25" customHeight="1">
      <c r="A32" s="83">
        <v>10</v>
      </c>
      <c r="B32" s="86" t="s">
        <v>131</v>
      </c>
      <c r="C32" s="152">
        <v>3231</v>
      </c>
      <c r="D32" s="83">
        <v>0.75</v>
      </c>
      <c r="E32" s="76">
        <v>4195</v>
      </c>
      <c r="F32" s="76">
        <v>6</v>
      </c>
      <c r="G32" s="77">
        <f t="shared" si="5"/>
        <v>3146.25</v>
      </c>
      <c r="H32" s="77"/>
      <c r="I32" s="78"/>
      <c r="J32" s="85"/>
      <c r="K32" s="85"/>
      <c r="L32" s="85"/>
      <c r="M32" s="78">
        <f>(G32+H32)*30%</f>
        <v>943.875</v>
      </c>
      <c r="N32" s="85"/>
      <c r="O32" s="85"/>
      <c r="P32" s="79"/>
      <c r="Q32" s="85"/>
      <c r="R32" s="85"/>
      <c r="S32" s="78"/>
      <c r="T32" s="80">
        <f>6700*D32-G32-H32-K32-L32-M32</f>
        <v>934.875</v>
      </c>
      <c r="U32" s="81">
        <f>G32+H32+I32+J32+K32+L32+M32+P32+Q32+R32+S32+T32</f>
        <v>5025</v>
      </c>
      <c r="V32" s="81">
        <f t="shared" si="2"/>
        <v>73733.9625</v>
      </c>
      <c r="W32" s="82"/>
    </row>
    <row r="33" spans="1:25" s="1" customFormat="1" ht="34.5" customHeight="1">
      <c r="A33" s="83">
        <v>11</v>
      </c>
      <c r="B33" s="86" t="s">
        <v>162</v>
      </c>
      <c r="C33" s="152">
        <v>2332</v>
      </c>
      <c r="D33" s="83">
        <v>4</v>
      </c>
      <c r="E33" s="76">
        <v>7001</v>
      </c>
      <c r="F33" s="87" t="s">
        <v>42</v>
      </c>
      <c r="G33" s="77">
        <f t="shared" si="5"/>
        <v>28004</v>
      </c>
      <c r="H33" s="77">
        <f>G33*10%</f>
        <v>2800.4</v>
      </c>
      <c r="I33" s="78"/>
      <c r="J33" s="85"/>
      <c r="K33" s="85">
        <f aca="true" t="shared" si="6" ref="K33:K39">G33*20%</f>
        <v>5600.8</v>
      </c>
      <c r="L33" s="85">
        <v>1050.15</v>
      </c>
      <c r="M33" s="78">
        <v>9417.55</v>
      </c>
      <c r="N33" s="85"/>
      <c r="O33" s="85"/>
      <c r="P33" s="79">
        <v>3745.54</v>
      </c>
      <c r="Q33" s="85"/>
      <c r="R33" s="85"/>
      <c r="S33" s="78"/>
      <c r="T33" s="80"/>
      <c r="U33" s="81">
        <f t="shared" si="3"/>
        <v>50618.44000000001</v>
      </c>
      <c r="V33" s="81">
        <f t="shared" si="2"/>
        <v>738872.2550400001</v>
      </c>
      <c r="W33" s="82"/>
      <c r="Y33" s="88"/>
    </row>
    <row r="34" spans="1:23" s="1" customFormat="1" ht="34.5" customHeight="1">
      <c r="A34" s="83">
        <v>12</v>
      </c>
      <c r="B34" s="86" t="s">
        <v>159</v>
      </c>
      <c r="C34" s="152">
        <v>2332</v>
      </c>
      <c r="D34" s="152">
        <v>2</v>
      </c>
      <c r="E34" s="76">
        <v>6567</v>
      </c>
      <c r="F34" s="89" t="s">
        <v>45</v>
      </c>
      <c r="G34" s="77">
        <f t="shared" si="5"/>
        <v>13134</v>
      </c>
      <c r="H34" s="77">
        <f>G34*10%</f>
        <v>1313.4</v>
      </c>
      <c r="I34" s="78"/>
      <c r="J34" s="85"/>
      <c r="K34" s="85">
        <f t="shared" si="6"/>
        <v>2626.8</v>
      </c>
      <c r="L34" s="85"/>
      <c r="M34" s="85">
        <v>5122.26</v>
      </c>
      <c r="N34" s="85"/>
      <c r="O34" s="85"/>
      <c r="P34" s="79">
        <f t="shared" si="4"/>
        <v>1707.42</v>
      </c>
      <c r="Q34" s="85"/>
      <c r="R34" s="85"/>
      <c r="S34" s="78"/>
      <c r="T34" s="80"/>
      <c r="U34" s="81">
        <f t="shared" si="3"/>
        <v>23903.879999999997</v>
      </c>
      <c r="V34" s="81">
        <f t="shared" si="2"/>
        <v>348827.4820799999</v>
      </c>
      <c r="W34" s="82"/>
    </row>
    <row r="35" spans="1:23" ht="35.25" customHeight="1">
      <c r="A35" s="83">
        <v>13</v>
      </c>
      <c r="B35" s="86" t="s">
        <v>163</v>
      </c>
      <c r="C35" s="152">
        <v>2332</v>
      </c>
      <c r="D35" s="83">
        <v>1.25</v>
      </c>
      <c r="E35" s="76">
        <v>6133</v>
      </c>
      <c r="F35" s="76">
        <v>12</v>
      </c>
      <c r="G35" s="77">
        <f t="shared" si="5"/>
        <v>7666.25</v>
      </c>
      <c r="H35" s="77">
        <f>G35*10%</f>
        <v>766.625</v>
      </c>
      <c r="I35" s="78"/>
      <c r="J35" s="85"/>
      <c r="K35" s="85">
        <f t="shared" si="6"/>
        <v>1533.25</v>
      </c>
      <c r="L35" s="17"/>
      <c r="M35" s="85">
        <v>1793.9</v>
      </c>
      <c r="N35" s="17"/>
      <c r="O35" s="17"/>
      <c r="P35" s="79">
        <f t="shared" si="4"/>
        <v>996.6125000000001</v>
      </c>
      <c r="Q35" s="85"/>
      <c r="R35" s="85"/>
      <c r="S35" s="85"/>
      <c r="T35" s="80"/>
      <c r="U35" s="81">
        <f t="shared" si="3"/>
        <v>12756.637499999999</v>
      </c>
      <c r="V35" s="81">
        <f t="shared" si="2"/>
        <v>186846.59369999997</v>
      </c>
      <c r="W35" s="33"/>
    </row>
    <row r="36" spans="1:23" s="1" customFormat="1" ht="35.25" customHeight="1">
      <c r="A36" s="83">
        <v>14</v>
      </c>
      <c r="B36" s="86" t="s">
        <v>158</v>
      </c>
      <c r="C36" s="152">
        <v>2332</v>
      </c>
      <c r="D36" s="83">
        <v>6.5</v>
      </c>
      <c r="E36" s="76">
        <v>5699</v>
      </c>
      <c r="F36" s="76">
        <v>11</v>
      </c>
      <c r="G36" s="77">
        <f>E36*D36</f>
        <v>37043.5</v>
      </c>
      <c r="H36" s="77">
        <f>G36*10%</f>
        <v>3704.3500000000004</v>
      </c>
      <c r="I36" s="78"/>
      <c r="J36" s="85"/>
      <c r="K36" s="85">
        <f t="shared" si="6"/>
        <v>7408.700000000001</v>
      </c>
      <c r="L36" s="85"/>
      <c r="M36" s="85">
        <v>7038.27</v>
      </c>
      <c r="N36" s="85"/>
      <c r="O36" s="85"/>
      <c r="P36" s="79">
        <f t="shared" si="4"/>
        <v>4815.655000000001</v>
      </c>
      <c r="Q36" s="85"/>
      <c r="R36" s="85"/>
      <c r="S36" s="85"/>
      <c r="T36" s="80"/>
      <c r="U36" s="81">
        <f t="shared" si="3"/>
        <v>60010.475000000006</v>
      </c>
      <c r="V36" s="81">
        <f t="shared" si="2"/>
        <v>880002.4926000001</v>
      </c>
      <c r="W36" s="82"/>
    </row>
    <row r="37" spans="1:23" s="1" customFormat="1" ht="13.5" hidden="1">
      <c r="A37" s="83">
        <v>14</v>
      </c>
      <c r="B37" s="184"/>
      <c r="C37" s="167"/>
      <c r="D37" s="23"/>
      <c r="E37" s="24"/>
      <c r="F37" s="24"/>
      <c r="G37" s="25"/>
      <c r="H37" s="25"/>
      <c r="I37" s="16"/>
      <c r="J37" s="17"/>
      <c r="K37" s="17"/>
      <c r="L37" s="17"/>
      <c r="M37" s="17"/>
      <c r="N37" s="17"/>
      <c r="O37" s="17"/>
      <c r="P37" s="26"/>
      <c r="Q37" s="17"/>
      <c r="R37" s="17"/>
      <c r="S37" s="17"/>
      <c r="T37" s="18"/>
      <c r="U37" s="19">
        <f>G37+H37+I37+J37+K37+L37+M37+P37+Q37+R37+S37+T37</f>
        <v>0</v>
      </c>
      <c r="V37" s="81">
        <f t="shared" si="2"/>
        <v>0</v>
      </c>
      <c r="W37" s="82"/>
    </row>
    <row r="38" spans="1:23" ht="36.75" customHeight="1">
      <c r="A38" s="83">
        <v>15</v>
      </c>
      <c r="B38" s="86" t="s">
        <v>25</v>
      </c>
      <c r="C38" s="152">
        <v>5131</v>
      </c>
      <c r="D38" s="83">
        <v>5.75</v>
      </c>
      <c r="E38" s="76">
        <v>4195</v>
      </c>
      <c r="F38" s="76">
        <v>6</v>
      </c>
      <c r="G38" s="77">
        <f t="shared" si="5"/>
        <v>24121.25</v>
      </c>
      <c r="H38" s="77"/>
      <c r="I38" s="85"/>
      <c r="J38" s="85"/>
      <c r="K38" s="85">
        <f t="shared" si="6"/>
        <v>4824.25</v>
      </c>
      <c r="L38" s="85"/>
      <c r="M38" s="85"/>
      <c r="N38" s="85"/>
      <c r="O38" s="85"/>
      <c r="P38" s="85"/>
      <c r="Q38" s="85"/>
      <c r="R38" s="85"/>
      <c r="S38" s="85"/>
      <c r="T38" s="80">
        <f>6700*D38-G38-H38-J38-K38-L38-M38-P38</f>
        <v>9579.5</v>
      </c>
      <c r="U38" s="81">
        <f t="shared" si="3"/>
        <v>38525</v>
      </c>
      <c r="V38" s="81">
        <f t="shared" si="2"/>
        <v>565293.7125</v>
      </c>
      <c r="W38" s="33"/>
    </row>
    <row r="39" spans="1:23" ht="33" customHeight="1">
      <c r="A39" s="83">
        <v>16</v>
      </c>
      <c r="B39" s="86" t="s">
        <v>17</v>
      </c>
      <c r="C39" s="152">
        <v>5131</v>
      </c>
      <c r="D39" s="83">
        <v>1.25</v>
      </c>
      <c r="E39" s="76">
        <v>4195</v>
      </c>
      <c r="F39" s="76">
        <v>6</v>
      </c>
      <c r="G39" s="77">
        <f t="shared" si="5"/>
        <v>5243.75</v>
      </c>
      <c r="H39" s="77"/>
      <c r="I39" s="85"/>
      <c r="J39" s="85"/>
      <c r="K39" s="85">
        <f t="shared" si="6"/>
        <v>1048.75</v>
      </c>
      <c r="L39" s="85"/>
      <c r="M39" s="85"/>
      <c r="N39" s="85"/>
      <c r="O39" s="85"/>
      <c r="P39" s="85"/>
      <c r="Q39" s="85"/>
      <c r="R39" s="85"/>
      <c r="S39" s="85"/>
      <c r="T39" s="80">
        <f aca="true" t="shared" si="7" ref="T39:T48">6700*D39-G39-H39-J39-K39-L39-M39-P39</f>
        <v>2082.5</v>
      </c>
      <c r="U39" s="81">
        <f t="shared" si="3"/>
        <v>8375</v>
      </c>
      <c r="V39" s="81">
        <f t="shared" si="2"/>
        <v>122889.93749999999</v>
      </c>
      <c r="W39" s="33"/>
    </row>
    <row r="40" spans="1:23" ht="13.5">
      <c r="A40" s="83">
        <v>17</v>
      </c>
      <c r="B40" s="84" t="s">
        <v>122</v>
      </c>
      <c r="C40" s="83">
        <v>1239</v>
      </c>
      <c r="D40" s="83">
        <v>1</v>
      </c>
      <c r="E40" s="76">
        <v>4745</v>
      </c>
      <c r="F40" s="76">
        <v>8</v>
      </c>
      <c r="G40" s="77">
        <f t="shared" si="5"/>
        <v>4745</v>
      </c>
      <c r="H40" s="77"/>
      <c r="I40" s="85"/>
      <c r="J40" s="85">
        <f>G40*50%</f>
        <v>2372.5</v>
      </c>
      <c r="K40" s="85">
        <f>E40*15%</f>
        <v>711.75</v>
      </c>
      <c r="L40" s="85"/>
      <c r="M40" s="85"/>
      <c r="N40" s="85"/>
      <c r="O40" s="85"/>
      <c r="P40" s="85"/>
      <c r="Q40" s="85"/>
      <c r="R40" s="85"/>
      <c r="S40" s="85"/>
      <c r="T40" s="80"/>
      <c r="U40" s="81">
        <f t="shared" si="3"/>
        <v>7829.25</v>
      </c>
      <c r="V40" s="81">
        <f t="shared" si="2"/>
        <v>114717.018</v>
      </c>
      <c r="W40" s="33"/>
    </row>
    <row r="41" spans="1:23" ht="13.5">
      <c r="A41" s="83">
        <v>18</v>
      </c>
      <c r="B41" s="84" t="s">
        <v>8</v>
      </c>
      <c r="C41" s="83">
        <v>5122</v>
      </c>
      <c r="D41" s="83">
        <v>2</v>
      </c>
      <c r="E41" s="76">
        <v>3934</v>
      </c>
      <c r="F41" s="76">
        <v>5</v>
      </c>
      <c r="G41" s="77">
        <f t="shared" si="5"/>
        <v>7868</v>
      </c>
      <c r="H41" s="77"/>
      <c r="I41" s="85"/>
      <c r="J41" s="85">
        <f>E41*20%</f>
        <v>786.8000000000001</v>
      </c>
      <c r="K41" s="85"/>
      <c r="L41" s="85"/>
      <c r="M41" s="85"/>
      <c r="N41" s="85"/>
      <c r="O41" s="85"/>
      <c r="P41" s="85"/>
      <c r="Q41" s="85"/>
      <c r="R41" s="85">
        <f>G41*12%</f>
        <v>944.16</v>
      </c>
      <c r="S41" s="85"/>
      <c r="T41" s="80">
        <f t="shared" si="7"/>
        <v>4745.2</v>
      </c>
      <c r="U41" s="81">
        <f t="shared" si="3"/>
        <v>14344.16</v>
      </c>
      <c r="V41" s="81">
        <f t="shared" si="2"/>
        <v>209309.14655999996</v>
      </c>
      <c r="W41" s="33"/>
    </row>
    <row r="42" spans="1:23" ht="13.5">
      <c r="A42" s="83">
        <v>19</v>
      </c>
      <c r="B42" s="90" t="s">
        <v>128</v>
      </c>
      <c r="C42" s="163">
        <v>9132</v>
      </c>
      <c r="D42" s="83">
        <v>1</v>
      </c>
      <c r="E42" s="76">
        <v>2893</v>
      </c>
      <c r="F42" s="76">
        <v>1</v>
      </c>
      <c r="G42" s="77">
        <f t="shared" si="5"/>
        <v>2893</v>
      </c>
      <c r="H42" s="77"/>
      <c r="I42" s="85"/>
      <c r="J42" s="85"/>
      <c r="K42" s="85"/>
      <c r="L42" s="85"/>
      <c r="M42" s="85"/>
      <c r="N42" s="85"/>
      <c r="O42" s="85"/>
      <c r="P42" s="85"/>
      <c r="Q42" s="85"/>
      <c r="R42" s="85">
        <f>G42*12%</f>
        <v>347.15999999999997</v>
      </c>
      <c r="S42" s="85"/>
      <c r="T42" s="80">
        <f t="shared" si="7"/>
        <v>3807</v>
      </c>
      <c r="U42" s="81">
        <f t="shared" si="3"/>
        <v>7047.16</v>
      </c>
      <c r="V42" s="81">
        <f t="shared" si="2"/>
        <v>101810.64455999999</v>
      </c>
      <c r="W42" s="33"/>
    </row>
    <row r="43" spans="1:23" ht="9" customHeight="1" hidden="1">
      <c r="A43" s="83">
        <v>18</v>
      </c>
      <c r="B43" s="84" t="s">
        <v>23</v>
      </c>
      <c r="C43" s="83"/>
      <c r="D43" s="83"/>
      <c r="E43" s="76"/>
      <c r="F43" s="76"/>
      <c r="G43" s="77">
        <f t="shared" si="5"/>
        <v>0</v>
      </c>
      <c r="H43" s="77"/>
      <c r="I43" s="85"/>
      <c r="J43" s="85"/>
      <c r="K43" s="85"/>
      <c r="L43" s="85"/>
      <c r="M43" s="85"/>
      <c r="N43" s="85"/>
      <c r="O43" s="85"/>
      <c r="P43" s="85"/>
      <c r="Q43" s="85"/>
      <c r="R43" s="85">
        <f>G43*12%</f>
        <v>0</v>
      </c>
      <c r="S43" s="85"/>
      <c r="T43" s="80">
        <f t="shared" si="7"/>
        <v>0</v>
      </c>
      <c r="U43" s="81">
        <f t="shared" si="3"/>
        <v>0</v>
      </c>
      <c r="V43" s="81">
        <f t="shared" si="2"/>
        <v>0</v>
      </c>
      <c r="W43" s="33"/>
    </row>
    <row r="44" spans="1:29" ht="36.75" customHeight="1">
      <c r="A44" s="83">
        <v>20</v>
      </c>
      <c r="B44" s="86" t="s">
        <v>24</v>
      </c>
      <c r="C44" s="152">
        <v>8264</v>
      </c>
      <c r="D44" s="83">
        <v>1</v>
      </c>
      <c r="E44" s="76">
        <v>3153</v>
      </c>
      <c r="F44" s="76">
        <v>2</v>
      </c>
      <c r="G44" s="77">
        <f t="shared" si="5"/>
        <v>3153</v>
      </c>
      <c r="H44" s="77"/>
      <c r="I44" s="85"/>
      <c r="J44" s="85"/>
      <c r="K44" s="85"/>
      <c r="L44" s="85"/>
      <c r="M44" s="85"/>
      <c r="N44" s="85"/>
      <c r="O44" s="85"/>
      <c r="P44" s="85"/>
      <c r="Q44" s="85"/>
      <c r="R44" s="85">
        <f>G44*12%</f>
        <v>378.36</v>
      </c>
      <c r="S44" s="85"/>
      <c r="T44" s="80">
        <f t="shared" si="7"/>
        <v>3547</v>
      </c>
      <c r="U44" s="81">
        <f t="shared" si="3"/>
        <v>7078.360000000001</v>
      </c>
      <c r="V44" s="81">
        <f t="shared" si="2"/>
        <v>102520.94376</v>
      </c>
      <c r="W44" s="33"/>
      <c r="AC44" s="28"/>
    </row>
    <row r="45" spans="1:23" ht="45" customHeight="1">
      <c r="A45" s="83">
        <v>21</v>
      </c>
      <c r="B45" s="86" t="s">
        <v>142</v>
      </c>
      <c r="C45" s="152">
        <v>7129</v>
      </c>
      <c r="D45" s="83">
        <v>0.5</v>
      </c>
      <c r="E45" s="76">
        <v>3674</v>
      </c>
      <c r="F45" s="76">
        <v>4</v>
      </c>
      <c r="G45" s="77">
        <f t="shared" si="5"/>
        <v>1837</v>
      </c>
      <c r="H45" s="77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0">
        <f t="shared" si="7"/>
        <v>1513</v>
      </c>
      <c r="U45" s="81">
        <f t="shared" si="3"/>
        <v>3350</v>
      </c>
      <c r="V45" s="81">
        <f t="shared" si="2"/>
        <v>48882.45</v>
      </c>
      <c r="W45" s="33"/>
    </row>
    <row r="46" spans="1:23" ht="18" customHeight="1">
      <c r="A46" s="83">
        <v>22</v>
      </c>
      <c r="B46" s="86" t="s">
        <v>79</v>
      </c>
      <c r="C46" s="152">
        <v>9132</v>
      </c>
      <c r="D46" s="83">
        <v>0.5</v>
      </c>
      <c r="E46" s="76">
        <v>3153</v>
      </c>
      <c r="F46" s="76">
        <v>2</v>
      </c>
      <c r="G46" s="77">
        <f t="shared" si="5"/>
        <v>1576.5</v>
      </c>
      <c r="H46" s="77"/>
      <c r="I46" s="85"/>
      <c r="J46" s="85"/>
      <c r="K46" s="85"/>
      <c r="L46" s="85"/>
      <c r="M46" s="85"/>
      <c r="N46" s="85"/>
      <c r="O46" s="85"/>
      <c r="P46" s="85"/>
      <c r="Q46" s="85">
        <f>G46*10%</f>
        <v>157.65</v>
      </c>
      <c r="R46" s="85"/>
      <c r="S46" s="85"/>
      <c r="T46" s="80">
        <f t="shared" si="7"/>
        <v>1773.5</v>
      </c>
      <c r="U46" s="81">
        <f t="shared" si="3"/>
        <v>3507.65</v>
      </c>
      <c r="V46" s="81">
        <f t="shared" si="2"/>
        <v>50818.547399999996</v>
      </c>
      <c r="W46" s="33"/>
    </row>
    <row r="47" spans="1:23" ht="13.5">
      <c r="A47" s="83">
        <v>23</v>
      </c>
      <c r="B47" s="84" t="s">
        <v>10</v>
      </c>
      <c r="C47" s="83">
        <v>9152</v>
      </c>
      <c r="D47" s="83">
        <v>2</v>
      </c>
      <c r="E47" s="76">
        <v>3153</v>
      </c>
      <c r="F47" s="76">
        <v>2</v>
      </c>
      <c r="G47" s="77">
        <f t="shared" si="5"/>
        <v>6306</v>
      </c>
      <c r="H47" s="77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>
        <f>G47*40%</f>
        <v>2522.4</v>
      </c>
      <c r="T47" s="80">
        <f t="shared" si="7"/>
        <v>7094</v>
      </c>
      <c r="U47" s="81">
        <f t="shared" si="3"/>
        <v>15922.4</v>
      </c>
      <c r="V47" s="81">
        <f t="shared" si="2"/>
        <v>229789.65839999996</v>
      </c>
      <c r="W47" s="33"/>
    </row>
    <row r="48" spans="1:23" ht="13.5">
      <c r="A48" s="83">
        <v>24</v>
      </c>
      <c r="B48" s="84" t="s">
        <v>9</v>
      </c>
      <c r="C48" s="83">
        <v>9162</v>
      </c>
      <c r="D48" s="83">
        <v>0.5</v>
      </c>
      <c r="E48" s="76">
        <v>2893</v>
      </c>
      <c r="F48" s="76">
        <v>1</v>
      </c>
      <c r="G48" s="77">
        <f t="shared" si="5"/>
        <v>1446.5</v>
      </c>
      <c r="H48" s="77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0">
        <f t="shared" si="7"/>
        <v>1903.5</v>
      </c>
      <c r="U48" s="81">
        <f t="shared" si="3"/>
        <v>3350</v>
      </c>
      <c r="V48" s="81">
        <f t="shared" si="2"/>
        <v>48472.424999999996</v>
      </c>
      <c r="W48" s="33"/>
    </row>
    <row r="49" spans="1:24" ht="13.5">
      <c r="A49" s="83">
        <v>25</v>
      </c>
      <c r="B49" s="84" t="s">
        <v>12</v>
      </c>
      <c r="C49" s="83">
        <v>4131</v>
      </c>
      <c r="D49" s="83">
        <v>0.25</v>
      </c>
      <c r="E49" s="76">
        <v>3153</v>
      </c>
      <c r="F49" s="76">
        <v>2</v>
      </c>
      <c r="G49" s="77">
        <f t="shared" si="5"/>
        <v>788.25</v>
      </c>
      <c r="H49" s="77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0">
        <f>6500*D49-G49-H49-J49-K49-L49-M49-P49</f>
        <v>836.75</v>
      </c>
      <c r="U49" s="81">
        <f>G49+H49+I49+J49+K49+L49+M49+P49+Q49+R49+S49+T49</f>
        <v>1625</v>
      </c>
      <c r="V49" s="81">
        <f t="shared" si="2"/>
        <v>23603.6625</v>
      </c>
      <c r="W49" s="33"/>
      <c r="X49" s="6"/>
    </row>
    <row r="50" spans="1:24" ht="13.5">
      <c r="A50" s="84"/>
      <c r="B50" s="84" t="s">
        <v>6</v>
      </c>
      <c r="C50" s="83"/>
      <c r="D50" s="91">
        <f>SUM(D21:D49)</f>
        <v>37.75</v>
      </c>
      <c r="E50" s="91"/>
      <c r="F50" s="91"/>
      <c r="G50" s="91">
        <f aca="true" t="shared" si="8" ref="G50:V50">SUM(G21:G49)</f>
        <v>192388.25</v>
      </c>
      <c r="H50" s="91">
        <f t="shared" si="8"/>
        <v>12192.25</v>
      </c>
      <c r="I50" s="85">
        <f t="shared" si="8"/>
        <v>0</v>
      </c>
      <c r="J50" s="85">
        <f t="shared" si="8"/>
        <v>3159.3</v>
      </c>
      <c r="K50" s="85">
        <f t="shared" si="8"/>
        <v>30969.25</v>
      </c>
      <c r="L50" s="85">
        <f t="shared" si="8"/>
        <v>2169.75</v>
      </c>
      <c r="M50" s="85">
        <f t="shared" si="8"/>
        <v>34994.71250000001</v>
      </c>
      <c r="N50" s="85">
        <f t="shared" si="8"/>
        <v>0</v>
      </c>
      <c r="O50" s="85">
        <f t="shared" si="8"/>
        <v>0</v>
      </c>
      <c r="P50" s="85">
        <f t="shared" si="8"/>
        <v>16024.955000000002</v>
      </c>
      <c r="Q50" s="85">
        <f t="shared" si="8"/>
        <v>157.65</v>
      </c>
      <c r="R50" s="85">
        <f t="shared" si="8"/>
        <v>1669.6799999999998</v>
      </c>
      <c r="S50" s="85">
        <f t="shared" si="8"/>
        <v>2522.4</v>
      </c>
      <c r="T50" s="92">
        <f t="shared" si="8"/>
        <v>40375.75</v>
      </c>
      <c r="U50" s="85">
        <f t="shared" si="8"/>
        <v>336623.9475</v>
      </c>
      <c r="V50" s="140">
        <f t="shared" si="8"/>
        <v>4920128.91066</v>
      </c>
      <c r="W50" s="33"/>
      <c r="X50" s="6"/>
    </row>
    <row r="51" spans="1:23" ht="17.25" customHeight="1">
      <c r="A51" s="6"/>
      <c r="B51" s="6"/>
      <c r="C51" s="166"/>
      <c r="D51" s="6"/>
      <c r="E51" s="6"/>
      <c r="F51" s="6"/>
      <c r="G51" s="6"/>
      <c r="H51" s="6"/>
      <c r="I51" s="6"/>
      <c r="J51" s="6"/>
      <c r="K51" s="6"/>
      <c r="L51" s="6"/>
      <c r="M51" s="27"/>
      <c r="N51" s="6"/>
      <c r="O51" s="6"/>
      <c r="P51" s="6"/>
      <c r="Q51" s="6"/>
      <c r="R51" s="6"/>
      <c r="S51" s="6"/>
      <c r="T51" s="27"/>
      <c r="U51" s="27"/>
      <c r="V51" s="6"/>
      <c r="W51" s="6"/>
    </row>
    <row r="52" spans="1:21" ht="14.25" customHeight="1">
      <c r="A52" s="6"/>
      <c r="B52" s="6"/>
      <c r="C52" s="166"/>
      <c r="D52" s="39"/>
      <c r="E52" s="39"/>
      <c r="F52" s="194" t="s">
        <v>169</v>
      </c>
      <c r="G52" s="112"/>
      <c r="H52" s="112"/>
      <c r="I52" s="112"/>
      <c r="J52" s="112"/>
      <c r="K52" s="112"/>
      <c r="L52" s="112"/>
      <c r="M52" s="113"/>
      <c r="N52" s="3"/>
      <c r="O52" s="3"/>
      <c r="P52" s="3" t="s">
        <v>170</v>
      </c>
      <c r="Q52" s="113"/>
      <c r="R52" s="6"/>
      <c r="S52" s="6"/>
      <c r="T52" s="6"/>
      <c r="U52" s="28"/>
    </row>
    <row r="53" spans="1:23" ht="15">
      <c r="A53" s="31"/>
      <c r="B53" s="93"/>
      <c r="C53" s="802"/>
      <c r="D53" s="802"/>
      <c r="E53" s="802"/>
      <c r="F53" s="802"/>
      <c r="G53" s="802"/>
      <c r="H53" s="802"/>
      <c r="I53" s="802"/>
      <c r="J53" s="802"/>
      <c r="K53" s="802"/>
      <c r="L53" s="94"/>
      <c r="M53" s="94"/>
      <c r="N53" s="94"/>
      <c r="O53" s="94"/>
      <c r="P53" s="94"/>
      <c r="Q53" s="94"/>
      <c r="R53" s="82"/>
      <c r="S53" s="82"/>
      <c r="T53" s="33"/>
      <c r="U53" s="33"/>
      <c r="V53" s="33"/>
      <c r="W53" s="33"/>
    </row>
    <row r="54" spans="1:23" ht="15">
      <c r="A54" s="31"/>
      <c r="B54" s="93"/>
      <c r="C54" s="802" t="s">
        <v>168</v>
      </c>
      <c r="D54" s="802"/>
      <c r="E54" s="802"/>
      <c r="F54" s="802"/>
      <c r="G54" s="802"/>
      <c r="H54" s="802"/>
      <c r="I54" s="802"/>
      <c r="J54" s="802"/>
      <c r="K54" s="802"/>
      <c r="L54" s="94"/>
      <c r="M54" s="94"/>
      <c r="N54" s="94"/>
      <c r="O54" s="94"/>
      <c r="P54" s="94" t="s">
        <v>167</v>
      </c>
      <c r="Q54" s="94"/>
      <c r="R54" s="82"/>
      <c r="S54" s="82"/>
      <c r="T54" s="33"/>
      <c r="U54" s="33"/>
      <c r="V54" s="33"/>
      <c r="W54" s="33"/>
    </row>
    <row r="55" spans="1:23" ht="15">
      <c r="A55" s="31"/>
      <c r="B55" s="35"/>
      <c r="C55" s="168"/>
      <c r="D55" s="35"/>
      <c r="E55" s="35"/>
      <c r="F55" s="36"/>
      <c r="G55" s="37"/>
      <c r="H55" s="37"/>
      <c r="I55" s="37"/>
      <c r="J55" s="38"/>
      <c r="K55" s="5"/>
      <c r="L55" s="5"/>
      <c r="M55" s="5"/>
      <c r="N55" s="5"/>
      <c r="O55" s="5"/>
      <c r="P55" s="5"/>
      <c r="Q55" s="33"/>
      <c r="R55" s="33"/>
      <c r="S55" s="5"/>
      <c r="T55" s="33"/>
      <c r="U55" s="33"/>
      <c r="V55" s="33"/>
      <c r="W55" s="33"/>
    </row>
    <row r="56" ht="15" customHeight="1" hidden="1"/>
    <row r="57" spans="1:23" ht="14.25" customHeight="1" hidden="1">
      <c r="A57" s="6"/>
      <c r="B57" s="6"/>
      <c r="C57" s="166"/>
      <c r="D57" s="6"/>
      <c r="E57" s="6"/>
      <c r="F57" s="6"/>
      <c r="G57" s="6"/>
      <c r="H57" s="6"/>
      <c r="I57" s="6"/>
      <c r="J57" s="6"/>
      <c r="K57" s="2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2" customHeight="1">
      <c r="A58" s="154"/>
      <c r="B58" s="6"/>
      <c r="C58" s="166"/>
      <c r="D58" s="6"/>
      <c r="E58" s="6"/>
      <c r="F58" s="155"/>
      <c r="G58" s="155"/>
      <c r="H58" s="155"/>
      <c r="I58" s="6"/>
      <c r="J58" s="29"/>
      <c r="K58" s="6"/>
      <c r="L58" s="6"/>
      <c r="M58" s="6"/>
      <c r="N58" s="6"/>
      <c r="O58" s="6"/>
      <c r="P58" s="6"/>
      <c r="Q58" s="1" t="s">
        <v>102</v>
      </c>
      <c r="R58" s="156">
        <v>3</v>
      </c>
      <c r="S58" s="157"/>
      <c r="T58" s="3"/>
      <c r="U58" s="121"/>
      <c r="V58" s="1"/>
      <c r="W58" s="30"/>
    </row>
    <row r="59" spans="1:24" ht="36" customHeight="1">
      <c r="A59" s="154"/>
      <c r="B59" s="6"/>
      <c r="C59" s="166"/>
      <c r="D59" s="6"/>
      <c r="E59" s="6"/>
      <c r="F59" s="155"/>
      <c r="G59" s="155"/>
      <c r="H59" s="155"/>
      <c r="I59" s="6"/>
      <c r="J59" s="29"/>
      <c r="K59" s="6"/>
      <c r="L59" s="6"/>
      <c r="M59" s="6"/>
      <c r="N59" s="6"/>
      <c r="O59" s="6"/>
      <c r="P59" s="6"/>
      <c r="Q59" s="806" t="s">
        <v>103</v>
      </c>
      <c r="R59" s="806"/>
      <c r="S59" s="806"/>
      <c r="T59" s="806"/>
      <c r="U59" s="806"/>
      <c r="V59" s="806"/>
      <c r="W59" s="7"/>
      <c r="X59" s="7"/>
    </row>
    <row r="60" spans="1:23" ht="20.25" customHeight="1">
      <c r="A60" s="154"/>
      <c r="B60" s="6"/>
      <c r="C60" s="166"/>
      <c r="D60" s="6"/>
      <c r="E60" s="6"/>
      <c r="F60" s="155"/>
      <c r="G60" s="155"/>
      <c r="H60" s="155"/>
      <c r="I60" s="6"/>
      <c r="J60" s="29"/>
      <c r="K60" s="6"/>
      <c r="L60" s="6"/>
      <c r="M60" s="6"/>
      <c r="N60" s="6"/>
      <c r="O60" s="6"/>
      <c r="P60" s="6"/>
      <c r="Q60" s="807" t="s">
        <v>104</v>
      </c>
      <c r="R60" s="807"/>
      <c r="S60" s="807"/>
      <c r="T60" s="153" t="s">
        <v>0</v>
      </c>
      <c r="U60" s="159"/>
      <c r="V60" s="153"/>
      <c r="W60" s="8"/>
    </row>
    <row r="61" spans="1:24" ht="57.75" customHeight="1">
      <c r="A61" s="154"/>
      <c r="B61" s="6"/>
      <c r="C61" s="166"/>
      <c r="D61" s="6"/>
      <c r="E61" s="6"/>
      <c r="F61" s="155"/>
      <c r="G61" s="155"/>
      <c r="H61" s="155"/>
      <c r="I61" s="6"/>
      <c r="J61" s="29"/>
      <c r="K61" s="6"/>
      <c r="L61" s="6"/>
      <c r="M61" s="6"/>
      <c r="N61" s="6"/>
      <c r="O61" s="6"/>
      <c r="P61" s="6"/>
      <c r="Q61" s="808" t="s">
        <v>149</v>
      </c>
      <c r="R61" s="808"/>
      <c r="S61" s="808"/>
      <c r="T61" s="808"/>
      <c r="U61" s="808"/>
      <c r="V61" s="808"/>
      <c r="W61" s="8"/>
      <c r="X61" s="8"/>
    </row>
    <row r="62" spans="15:19" ht="32.25" customHeight="1">
      <c r="O62" s="95"/>
      <c r="P62" s="95"/>
      <c r="Q62" s="95"/>
      <c r="R62" s="95"/>
      <c r="S62" s="96"/>
    </row>
    <row r="63" spans="1:22" ht="13.5">
      <c r="A63" s="6"/>
      <c r="B63" s="6"/>
      <c r="C63" s="166"/>
      <c r="D63" s="6"/>
      <c r="E63" s="6"/>
      <c r="F63" s="6"/>
      <c r="G63" s="6"/>
      <c r="H63" s="6"/>
      <c r="I63" s="6"/>
      <c r="J63" s="6"/>
      <c r="K63" s="6"/>
      <c r="L63" s="6"/>
      <c r="M63" s="6"/>
      <c r="U63" s="6"/>
      <c r="V63" s="6"/>
    </row>
    <row r="64" spans="1:22" ht="17.25">
      <c r="A64" s="6"/>
      <c r="B64" s="805" t="s">
        <v>164</v>
      </c>
      <c r="C64" s="805"/>
      <c r="D64" s="805"/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10"/>
      <c r="P64" s="10"/>
      <c r="Q64" s="10"/>
      <c r="R64" s="10"/>
      <c r="S64" s="11"/>
      <c r="T64" s="10"/>
      <c r="U64" s="10"/>
      <c r="V64" s="6"/>
    </row>
    <row r="65" spans="1:22" ht="37.5" customHeight="1">
      <c r="A65" s="6"/>
      <c r="B65" s="802" t="s">
        <v>99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6"/>
      <c r="O65" s="30"/>
      <c r="P65" s="30"/>
      <c r="Q65" s="30"/>
      <c r="R65" s="30"/>
      <c r="S65" s="6"/>
      <c r="T65" s="6"/>
      <c r="U65" s="6"/>
      <c r="V65" s="6"/>
    </row>
    <row r="66" spans="1:22" ht="13.5">
      <c r="A66" s="6"/>
      <c r="B66" s="830" t="s">
        <v>7</v>
      </c>
      <c r="C66" s="830"/>
      <c r="D66" s="830"/>
      <c r="E66" s="830"/>
      <c r="F66" s="830"/>
      <c r="G66" s="830"/>
      <c r="H66" s="830"/>
      <c r="I66" s="830"/>
      <c r="J66" s="830"/>
      <c r="K66" s="83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6" customHeight="1" hidden="1">
      <c r="A67" s="6"/>
      <c r="B67" s="6"/>
      <c r="C67" s="16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3.5">
      <c r="A68" s="6"/>
      <c r="B68" s="3" t="s">
        <v>146</v>
      </c>
      <c r="C68" s="162"/>
      <c r="D68" s="3"/>
      <c r="E68" s="6"/>
      <c r="F68" s="6"/>
      <c r="G68" s="6"/>
      <c r="H68" s="6"/>
      <c r="I68" s="6"/>
      <c r="J68" s="6"/>
      <c r="K68" s="6"/>
      <c r="L68" s="6"/>
      <c r="M68" s="6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13.5">
      <c r="A69" s="6"/>
      <c r="B69" s="3" t="s">
        <v>147</v>
      </c>
      <c r="C69" s="162"/>
      <c r="D69" s="3"/>
      <c r="E69" s="6"/>
      <c r="F69" s="6"/>
      <c r="G69" s="6"/>
      <c r="H69" s="6"/>
      <c r="I69" s="6"/>
      <c r="J69" s="6"/>
      <c r="K69" s="6"/>
      <c r="L69" s="6"/>
      <c r="M69" s="6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10.5" customHeight="1" hidden="1">
      <c r="A70" s="6"/>
      <c r="B70" s="3"/>
      <c r="C70" s="162"/>
      <c r="D70" s="3"/>
      <c r="E70" s="6"/>
      <c r="F70" s="6"/>
      <c r="G70" s="6"/>
      <c r="H70" s="6"/>
      <c r="I70" s="6"/>
      <c r="J70" s="6"/>
      <c r="K70" s="6"/>
      <c r="L70" s="6"/>
      <c r="M70" s="6"/>
      <c r="N70" s="31"/>
      <c r="O70" s="31"/>
      <c r="P70" s="31"/>
      <c r="Q70" s="31"/>
      <c r="R70" s="31"/>
      <c r="S70" s="31"/>
      <c r="T70" s="31"/>
      <c r="U70" s="31"/>
      <c r="V70" s="6"/>
    </row>
    <row r="71" spans="1:22" ht="13.5" hidden="1">
      <c r="A71" s="6"/>
      <c r="B71" s="3"/>
      <c r="C71" s="162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" customHeight="1">
      <c r="A72" s="6"/>
      <c r="B72" s="900" t="s">
        <v>148</v>
      </c>
      <c r="C72" s="900"/>
      <c r="D72" s="90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1" customFormat="1" ht="21" customHeight="1">
      <c r="A73" s="855" t="s">
        <v>0</v>
      </c>
      <c r="B73" s="66" t="s">
        <v>1</v>
      </c>
      <c r="C73" s="890" t="s">
        <v>117</v>
      </c>
      <c r="D73" s="67" t="s">
        <v>2</v>
      </c>
      <c r="E73" s="848" t="s">
        <v>34</v>
      </c>
      <c r="F73" s="848" t="s">
        <v>35</v>
      </c>
      <c r="G73" s="845" t="s">
        <v>38</v>
      </c>
      <c r="H73" s="845" t="s">
        <v>39</v>
      </c>
      <c r="I73" s="97" t="s">
        <v>31</v>
      </c>
      <c r="J73" s="98"/>
      <c r="K73" s="99"/>
      <c r="L73" s="100"/>
      <c r="M73" s="101"/>
      <c r="N73" s="101"/>
      <c r="O73" s="814" t="s">
        <v>19</v>
      </c>
      <c r="P73" s="815"/>
      <c r="Q73" s="815"/>
      <c r="R73" s="816"/>
      <c r="S73" s="838" t="s">
        <v>101</v>
      </c>
      <c r="T73" s="835" t="s">
        <v>47</v>
      </c>
      <c r="U73" s="826" t="s">
        <v>143</v>
      </c>
      <c r="V73" s="68"/>
    </row>
    <row r="74" spans="1:22" s="1" customFormat="1" ht="12.75" customHeight="1">
      <c r="A74" s="856"/>
      <c r="B74" s="70" t="s">
        <v>18</v>
      </c>
      <c r="C74" s="891"/>
      <c r="D74" s="70" t="s">
        <v>3</v>
      </c>
      <c r="E74" s="848"/>
      <c r="F74" s="848"/>
      <c r="G74" s="846"/>
      <c r="H74" s="846"/>
      <c r="I74" s="811" t="s">
        <v>48</v>
      </c>
      <c r="J74" s="811" t="s">
        <v>26</v>
      </c>
      <c r="K74" s="811" t="s">
        <v>49</v>
      </c>
      <c r="L74" s="831" t="s">
        <v>30</v>
      </c>
      <c r="M74" s="811" t="s">
        <v>22</v>
      </c>
      <c r="N74" s="834" t="s">
        <v>50</v>
      </c>
      <c r="O74" s="811" t="s">
        <v>20</v>
      </c>
      <c r="P74" s="819"/>
      <c r="Q74" s="819" t="s">
        <v>41</v>
      </c>
      <c r="R74" s="811" t="s">
        <v>51</v>
      </c>
      <c r="S74" s="839"/>
      <c r="T74" s="836"/>
      <c r="U74" s="827"/>
      <c r="V74" s="68"/>
    </row>
    <row r="75" spans="1:22" s="1" customFormat="1" ht="13.5">
      <c r="A75" s="856"/>
      <c r="B75" s="70"/>
      <c r="C75" s="891"/>
      <c r="D75" s="70" t="s">
        <v>4</v>
      </c>
      <c r="E75" s="848"/>
      <c r="F75" s="848"/>
      <c r="G75" s="846"/>
      <c r="H75" s="846"/>
      <c r="I75" s="812"/>
      <c r="J75" s="812"/>
      <c r="K75" s="812"/>
      <c r="L75" s="832"/>
      <c r="M75" s="812"/>
      <c r="N75" s="812"/>
      <c r="O75" s="812"/>
      <c r="P75" s="820"/>
      <c r="Q75" s="820"/>
      <c r="R75" s="812"/>
      <c r="S75" s="839"/>
      <c r="T75" s="836"/>
      <c r="U75" s="827"/>
      <c r="V75" s="68"/>
    </row>
    <row r="76" spans="1:22" s="1" customFormat="1" ht="13.5">
      <c r="A76" s="69"/>
      <c r="B76" s="70"/>
      <c r="C76" s="891"/>
      <c r="D76" s="70"/>
      <c r="E76" s="848"/>
      <c r="F76" s="848"/>
      <c r="G76" s="846"/>
      <c r="H76" s="846"/>
      <c r="I76" s="812"/>
      <c r="J76" s="812"/>
      <c r="K76" s="812"/>
      <c r="L76" s="832"/>
      <c r="M76" s="812"/>
      <c r="N76" s="812"/>
      <c r="O76" s="812"/>
      <c r="P76" s="820"/>
      <c r="Q76" s="820"/>
      <c r="R76" s="812"/>
      <c r="S76" s="839"/>
      <c r="T76" s="836"/>
      <c r="U76" s="827"/>
      <c r="V76" s="68"/>
    </row>
    <row r="77" spans="1:22" s="1" customFormat="1" ht="60" customHeight="1">
      <c r="A77" s="71"/>
      <c r="B77" s="72"/>
      <c r="C77" s="892"/>
      <c r="D77" s="73"/>
      <c r="E77" s="848"/>
      <c r="F77" s="848"/>
      <c r="G77" s="847"/>
      <c r="H77" s="847"/>
      <c r="I77" s="813"/>
      <c r="J77" s="813"/>
      <c r="K77" s="813"/>
      <c r="L77" s="833"/>
      <c r="M77" s="813"/>
      <c r="N77" s="813"/>
      <c r="O77" s="813"/>
      <c r="P77" s="821"/>
      <c r="Q77" s="821"/>
      <c r="R77" s="813"/>
      <c r="S77" s="840"/>
      <c r="T77" s="837"/>
      <c r="U77" s="828"/>
      <c r="V77" s="68"/>
    </row>
    <row r="78" spans="1:22" s="1" customFormat="1" ht="21" customHeight="1">
      <c r="A78" s="102">
        <v>1</v>
      </c>
      <c r="B78" s="75" t="s">
        <v>52</v>
      </c>
      <c r="C78" s="74" t="s">
        <v>118</v>
      </c>
      <c r="D78" s="74">
        <v>1</v>
      </c>
      <c r="E78" s="103">
        <v>8071</v>
      </c>
      <c r="F78" s="104">
        <v>16</v>
      </c>
      <c r="G78" s="105">
        <f>E78*D78</f>
        <v>8071</v>
      </c>
      <c r="H78" s="105">
        <f>G78*10%</f>
        <v>807.1</v>
      </c>
      <c r="I78" s="78"/>
      <c r="J78" s="78"/>
      <c r="K78" s="78"/>
      <c r="L78" s="78"/>
      <c r="M78" s="78">
        <f>(G78+H78+I78+K78+L78)*20%</f>
        <v>1775.6200000000001</v>
      </c>
      <c r="N78" s="78">
        <f aca="true" t="shared" si="9" ref="N78:N83">(G78+H78+I78+K78+L78)*10%</f>
        <v>887.8100000000001</v>
      </c>
      <c r="O78" s="78"/>
      <c r="P78" s="78"/>
      <c r="Q78" s="78"/>
      <c r="R78" s="78"/>
      <c r="S78" s="80"/>
      <c r="T78" s="81">
        <f aca="true" t="shared" si="10" ref="T78:T83">G78+H78+I78+J78+K78+L78+M78+N78+O78+Q78+R78+S78</f>
        <v>11541.53</v>
      </c>
      <c r="U78" s="81">
        <f>(T78*12)*1.168+G78+G78*5%</f>
        <v>170240.63448</v>
      </c>
      <c r="V78" s="82"/>
    </row>
    <row r="79" spans="1:22" s="1" customFormat="1" ht="19.5" customHeight="1">
      <c r="A79" s="106">
        <v>2</v>
      </c>
      <c r="B79" s="84" t="s">
        <v>11</v>
      </c>
      <c r="C79" s="74" t="s">
        <v>119</v>
      </c>
      <c r="D79" s="83">
        <v>1</v>
      </c>
      <c r="E79" s="107">
        <v>7001</v>
      </c>
      <c r="F79" s="104">
        <v>14</v>
      </c>
      <c r="G79" s="105">
        <v>7001</v>
      </c>
      <c r="H79" s="105">
        <f aca="true" t="shared" si="11" ref="H79:H89">G79*10%</f>
        <v>700.1</v>
      </c>
      <c r="I79" s="78"/>
      <c r="J79" s="85"/>
      <c r="K79" s="78"/>
      <c r="L79" s="85"/>
      <c r="M79" s="78">
        <f>(G79+H79+I79+K79+L79)*30%</f>
        <v>2310.33</v>
      </c>
      <c r="N79" s="78">
        <f t="shared" si="9"/>
        <v>770.1100000000001</v>
      </c>
      <c r="O79" s="85"/>
      <c r="P79" s="85"/>
      <c r="Q79" s="78"/>
      <c r="R79" s="78"/>
      <c r="S79" s="80"/>
      <c r="T79" s="81">
        <f t="shared" si="10"/>
        <v>10781.54</v>
      </c>
      <c r="U79" s="81">
        <f aca="true" t="shared" si="12" ref="U79:U105">(T79*12)*1.168+G79+G79*5%</f>
        <v>158465.11463999999</v>
      </c>
      <c r="V79" s="82"/>
    </row>
    <row r="80" spans="1:22" s="1" customFormat="1" ht="17.25" customHeight="1">
      <c r="A80" s="108">
        <v>3</v>
      </c>
      <c r="B80" s="109" t="s">
        <v>27</v>
      </c>
      <c r="C80" s="74" t="s">
        <v>120</v>
      </c>
      <c r="D80" s="83">
        <v>1.5</v>
      </c>
      <c r="E80" s="103">
        <v>5005</v>
      </c>
      <c r="F80" s="104">
        <v>9</v>
      </c>
      <c r="G80" s="105">
        <f>E80*D80</f>
        <v>7507.5</v>
      </c>
      <c r="H80" s="105">
        <f t="shared" si="11"/>
        <v>750.75</v>
      </c>
      <c r="I80" s="78"/>
      <c r="J80" s="85"/>
      <c r="K80" s="85"/>
      <c r="L80" s="85">
        <f>E80*D80*15%</f>
        <v>1126.125</v>
      </c>
      <c r="M80" s="78">
        <f>(G80+H80+I80+K80+L80)*30%</f>
        <v>2815.3125</v>
      </c>
      <c r="N80" s="78">
        <f t="shared" si="9"/>
        <v>938.4375</v>
      </c>
      <c r="O80" s="85"/>
      <c r="P80" s="85"/>
      <c r="Q80" s="78"/>
      <c r="R80" s="78"/>
      <c r="S80" s="80"/>
      <c r="T80" s="81">
        <f t="shared" si="10"/>
        <v>13138.125</v>
      </c>
      <c r="U80" s="81">
        <f t="shared" si="12"/>
        <v>192026.835</v>
      </c>
      <c r="V80" s="82"/>
    </row>
    <row r="81" spans="1:22" ht="23.25" customHeight="1" hidden="1">
      <c r="A81" s="56">
        <v>4</v>
      </c>
      <c r="B81" s="12" t="s">
        <v>13</v>
      </c>
      <c r="C81" s="23"/>
      <c r="D81" s="23"/>
      <c r="E81" s="20">
        <v>5699</v>
      </c>
      <c r="F81" s="14">
        <v>11</v>
      </c>
      <c r="G81" s="15">
        <f aca="true" t="shared" si="13" ref="G81:G105">E81*D81</f>
        <v>0</v>
      </c>
      <c r="H81" s="15">
        <f t="shared" si="11"/>
        <v>0</v>
      </c>
      <c r="I81" s="16"/>
      <c r="J81" s="17"/>
      <c r="K81" s="17"/>
      <c r="L81" s="17"/>
      <c r="M81" s="16">
        <f>(G81+H81+I81+K81+L81)*10%</f>
        <v>0</v>
      </c>
      <c r="N81" s="16">
        <f t="shared" si="9"/>
        <v>0</v>
      </c>
      <c r="O81" s="17"/>
      <c r="P81" s="17"/>
      <c r="Q81" s="16"/>
      <c r="R81" s="16"/>
      <c r="S81" s="18"/>
      <c r="T81" s="19">
        <f t="shared" si="10"/>
        <v>0</v>
      </c>
      <c r="U81" s="81">
        <f t="shared" si="12"/>
        <v>0</v>
      </c>
      <c r="V81" s="33"/>
    </row>
    <row r="82" spans="1:22" s="1" customFormat="1" ht="20.25" customHeight="1">
      <c r="A82" s="106">
        <v>5</v>
      </c>
      <c r="B82" s="84" t="s">
        <v>13</v>
      </c>
      <c r="C82" s="83" t="s">
        <v>121</v>
      </c>
      <c r="D82" s="83">
        <v>0.5</v>
      </c>
      <c r="E82" s="103">
        <v>6133</v>
      </c>
      <c r="F82" s="104">
        <v>12</v>
      </c>
      <c r="G82" s="105">
        <f t="shared" si="13"/>
        <v>3066.5</v>
      </c>
      <c r="H82" s="105">
        <f t="shared" si="11"/>
        <v>306.65000000000003</v>
      </c>
      <c r="I82" s="85"/>
      <c r="J82" s="85"/>
      <c r="K82" s="85"/>
      <c r="L82" s="85"/>
      <c r="M82" s="78">
        <f>(G82+H82+I82+K82+L82)*20%</f>
        <v>674.6300000000001</v>
      </c>
      <c r="N82" s="78">
        <f t="shared" si="9"/>
        <v>337.31500000000005</v>
      </c>
      <c r="O82" s="85"/>
      <c r="P82" s="85"/>
      <c r="Q82" s="78"/>
      <c r="R82" s="78"/>
      <c r="S82" s="80"/>
      <c r="T82" s="81">
        <f t="shared" si="10"/>
        <v>4385.095</v>
      </c>
      <c r="U82" s="81">
        <f t="shared" si="12"/>
        <v>64681.31651999999</v>
      </c>
      <c r="V82" s="82"/>
    </row>
    <row r="83" spans="1:22" ht="21.75" customHeight="1">
      <c r="A83" s="106">
        <v>6</v>
      </c>
      <c r="B83" s="86" t="s">
        <v>135</v>
      </c>
      <c r="C83" s="152">
        <v>3475</v>
      </c>
      <c r="D83" s="83">
        <v>0.75</v>
      </c>
      <c r="E83" s="103">
        <v>5005</v>
      </c>
      <c r="F83" s="104">
        <v>9</v>
      </c>
      <c r="G83" s="105">
        <f t="shared" si="13"/>
        <v>3753.75</v>
      </c>
      <c r="H83" s="105">
        <f t="shared" si="11"/>
        <v>375.375</v>
      </c>
      <c r="I83" s="16"/>
      <c r="J83" s="17"/>
      <c r="K83" s="17"/>
      <c r="L83" s="85">
        <f>G83*15%</f>
        <v>563.0625</v>
      </c>
      <c r="M83" s="78">
        <f>(G83+H83+I83+K83+L83)*30%</f>
        <v>1407.65625</v>
      </c>
      <c r="N83" s="78">
        <f t="shared" si="9"/>
        <v>469.21875</v>
      </c>
      <c r="O83" s="85"/>
      <c r="P83" s="85"/>
      <c r="Q83" s="78"/>
      <c r="R83" s="78"/>
      <c r="S83" s="80"/>
      <c r="T83" s="81">
        <f t="shared" si="10"/>
        <v>6569.0625</v>
      </c>
      <c r="U83" s="81">
        <f t="shared" si="12"/>
        <v>96013.4175</v>
      </c>
      <c r="V83" s="33"/>
    </row>
    <row r="84" spans="1:22" ht="15" customHeight="1" hidden="1">
      <c r="A84" s="56">
        <v>6</v>
      </c>
      <c r="B84" s="12"/>
      <c r="C84" s="23"/>
      <c r="D84" s="23"/>
      <c r="E84" s="13"/>
      <c r="F84" s="14">
        <v>12</v>
      </c>
      <c r="G84" s="15">
        <f t="shared" si="13"/>
        <v>0</v>
      </c>
      <c r="H84" s="15"/>
      <c r="I84" s="17"/>
      <c r="J84" s="17"/>
      <c r="K84" s="17"/>
      <c r="L84" s="17"/>
      <c r="M84" s="16">
        <f>(G84+H84+I84+K84+L84)*30%</f>
        <v>0</v>
      </c>
      <c r="N84" s="16"/>
      <c r="O84" s="17"/>
      <c r="P84" s="17"/>
      <c r="Q84" s="17"/>
      <c r="R84" s="16"/>
      <c r="S84" s="18">
        <f>5000*D84-G84-H84-I84-J84-K84-L84-M84-N84</f>
        <v>0</v>
      </c>
      <c r="T84" s="19"/>
      <c r="U84" s="81">
        <f t="shared" si="12"/>
        <v>0</v>
      </c>
      <c r="V84" s="33"/>
    </row>
    <row r="85" spans="1:22" s="1" customFormat="1" ht="27">
      <c r="A85" s="106">
        <v>7</v>
      </c>
      <c r="B85" s="180" t="s">
        <v>129</v>
      </c>
      <c r="C85" s="83">
        <v>3231</v>
      </c>
      <c r="D85" s="83">
        <v>1</v>
      </c>
      <c r="E85" s="103">
        <v>4195</v>
      </c>
      <c r="F85" s="104">
        <v>6</v>
      </c>
      <c r="G85" s="105">
        <f>E85*D85</f>
        <v>4195</v>
      </c>
      <c r="H85" s="105"/>
      <c r="I85" s="85"/>
      <c r="J85" s="85"/>
      <c r="K85" s="85"/>
      <c r="L85" s="85">
        <f>E85*10%*D85</f>
        <v>419.5</v>
      </c>
      <c r="M85" s="78">
        <f>(G85+H85+I85+L85)*10%</f>
        <v>461.45000000000005</v>
      </c>
      <c r="N85" s="78"/>
      <c r="O85" s="85"/>
      <c r="P85" s="85"/>
      <c r="Q85" s="85"/>
      <c r="R85" s="78"/>
      <c r="S85" s="80">
        <f>6700-G85-H85-I85-J85-K85-L85-M85-N85</f>
        <v>1624.05</v>
      </c>
      <c r="T85" s="81">
        <f>G85+H85+I85+J85+K85+L85+M85+N85+O85+Q85+R85+S85</f>
        <v>6700</v>
      </c>
      <c r="U85" s="81">
        <f t="shared" si="12"/>
        <v>98311.95</v>
      </c>
      <c r="V85" s="82"/>
    </row>
    <row r="86" spans="1:22" s="1" customFormat="1" ht="32.25" customHeight="1">
      <c r="A86" s="106">
        <v>8</v>
      </c>
      <c r="B86" s="86" t="s">
        <v>162</v>
      </c>
      <c r="C86" s="152">
        <v>2332</v>
      </c>
      <c r="D86" s="83">
        <v>2</v>
      </c>
      <c r="E86" s="103">
        <v>7001</v>
      </c>
      <c r="F86" s="114" t="s">
        <v>42</v>
      </c>
      <c r="G86" s="105">
        <f t="shared" si="13"/>
        <v>14002</v>
      </c>
      <c r="H86" s="105">
        <f t="shared" si="11"/>
        <v>1400.2</v>
      </c>
      <c r="I86" s="16"/>
      <c r="J86" s="17"/>
      <c r="K86" s="17"/>
      <c r="L86" s="85">
        <v>1050.15</v>
      </c>
      <c r="M86" s="78">
        <f>2625.38+2310.33</f>
        <v>4935.71</v>
      </c>
      <c r="N86" s="78">
        <f>770.11+875.13</f>
        <v>1645.24</v>
      </c>
      <c r="O86" s="17"/>
      <c r="P86" s="17"/>
      <c r="Q86" s="17"/>
      <c r="R86" s="16"/>
      <c r="S86" s="18"/>
      <c r="T86" s="81">
        <f aca="true" t="shared" si="14" ref="T86:T105">G86+H86+I86+J86+K86+L86+M86+N86+O86+Q86+R86+S86</f>
        <v>23033.300000000003</v>
      </c>
      <c r="U86" s="81">
        <f t="shared" si="12"/>
        <v>337536.8328</v>
      </c>
      <c r="V86" s="82"/>
    </row>
    <row r="87" spans="1:22" s="1" customFormat="1" ht="31.5" customHeight="1">
      <c r="A87" s="106">
        <v>9</v>
      </c>
      <c r="B87" s="86" t="s">
        <v>159</v>
      </c>
      <c r="C87" s="152">
        <v>2332</v>
      </c>
      <c r="D87" s="83">
        <v>2</v>
      </c>
      <c r="E87" s="103">
        <v>6567</v>
      </c>
      <c r="F87" s="114" t="s">
        <v>45</v>
      </c>
      <c r="G87" s="105">
        <f t="shared" si="13"/>
        <v>13134</v>
      </c>
      <c r="H87" s="105">
        <f t="shared" si="11"/>
        <v>1313.4</v>
      </c>
      <c r="I87" s="16"/>
      <c r="J87" s="17"/>
      <c r="K87" s="17"/>
      <c r="L87" s="16"/>
      <c r="M87" s="78">
        <f>1444.74+1444.74</f>
        <v>2889.48</v>
      </c>
      <c r="N87" s="78">
        <f>722.37+722.37</f>
        <v>1444.74</v>
      </c>
      <c r="O87" s="17"/>
      <c r="P87" s="17"/>
      <c r="Q87" s="17"/>
      <c r="R87" s="16"/>
      <c r="S87" s="18"/>
      <c r="T87" s="81">
        <f t="shared" si="14"/>
        <v>18781.620000000003</v>
      </c>
      <c r="U87" s="81">
        <f t="shared" si="12"/>
        <v>277033.88592000003</v>
      </c>
      <c r="V87" s="82"/>
    </row>
    <row r="88" spans="1:22" ht="13.5" customHeight="1" hidden="1">
      <c r="A88" s="56"/>
      <c r="B88" s="21"/>
      <c r="C88" s="167"/>
      <c r="D88" s="23"/>
      <c r="E88" s="20"/>
      <c r="F88" s="183"/>
      <c r="G88" s="15">
        <f t="shared" si="13"/>
        <v>0</v>
      </c>
      <c r="H88" s="15">
        <f t="shared" si="11"/>
        <v>0</v>
      </c>
      <c r="I88" s="16"/>
      <c r="J88" s="17"/>
      <c r="K88" s="17"/>
      <c r="L88" s="16"/>
      <c r="M88" s="16">
        <f>(G88+H88+I88+K88+L88)*10%</f>
        <v>0</v>
      </c>
      <c r="N88" s="16">
        <f>(G88+H88+I88+K88+L88)*10%</f>
        <v>0</v>
      </c>
      <c r="O88" s="17"/>
      <c r="P88" s="17"/>
      <c r="Q88" s="17"/>
      <c r="R88" s="16"/>
      <c r="S88" s="18"/>
      <c r="T88" s="19">
        <f t="shared" si="14"/>
        <v>0</v>
      </c>
      <c r="U88" s="81">
        <f t="shared" si="12"/>
        <v>0</v>
      </c>
      <c r="V88" s="33"/>
    </row>
    <row r="89" spans="1:22" ht="32.25" customHeight="1">
      <c r="A89" s="106">
        <v>10</v>
      </c>
      <c r="B89" s="86" t="s">
        <v>158</v>
      </c>
      <c r="C89" s="152">
        <v>2332</v>
      </c>
      <c r="D89" s="83">
        <v>8.75</v>
      </c>
      <c r="E89" s="103">
        <v>5699</v>
      </c>
      <c r="F89" s="115" t="s">
        <v>53</v>
      </c>
      <c r="G89" s="105">
        <f>E89*D89</f>
        <v>49866.25</v>
      </c>
      <c r="H89" s="105">
        <f t="shared" si="11"/>
        <v>4986.625</v>
      </c>
      <c r="I89" s="16"/>
      <c r="J89" s="17"/>
      <c r="K89" s="17"/>
      <c r="L89" s="78">
        <v>3419.4</v>
      </c>
      <c r="M89" s="78">
        <v>10813.87</v>
      </c>
      <c r="N89" s="78">
        <v>5827.25</v>
      </c>
      <c r="O89" s="17"/>
      <c r="P89" s="17"/>
      <c r="Q89" s="17"/>
      <c r="R89" s="16"/>
      <c r="S89" s="18"/>
      <c r="T89" s="81">
        <f t="shared" si="14"/>
        <v>74913.395</v>
      </c>
      <c r="U89" s="81">
        <f t="shared" si="12"/>
        <v>1102345.70682</v>
      </c>
      <c r="V89" s="33"/>
    </row>
    <row r="90" spans="1:22" s="1" customFormat="1" ht="24.75" customHeight="1" hidden="1">
      <c r="A90" s="106"/>
      <c r="B90" s="86"/>
      <c r="C90" s="167"/>
      <c r="D90" s="23"/>
      <c r="E90" s="20"/>
      <c r="F90" s="183"/>
      <c r="G90" s="15"/>
      <c r="H90" s="15"/>
      <c r="I90" s="16"/>
      <c r="J90" s="17"/>
      <c r="K90" s="17"/>
      <c r="L90" s="16"/>
      <c r="M90" s="16"/>
      <c r="N90" s="16"/>
      <c r="O90" s="17"/>
      <c r="P90" s="17"/>
      <c r="Q90" s="17"/>
      <c r="R90" s="16"/>
      <c r="S90" s="18"/>
      <c r="T90" s="19">
        <f>G90+H90+I90+J90+K90+L90+M90+N90+O90+Q90+R90+S90</f>
        <v>0</v>
      </c>
      <c r="U90" s="81">
        <f t="shared" si="12"/>
        <v>0</v>
      </c>
      <c r="V90" s="82"/>
    </row>
    <row r="91" spans="1:22" ht="31.5" customHeight="1">
      <c r="A91" s="106">
        <v>11</v>
      </c>
      <c r="B91" s="86" t="s">
        <v>25</v>
      </c>
      <c r="C91" s="152">
        <v>5131</v>
      </c>
      <c r="D91" s="83">
        <v>5</v>
      </c>
      <c r="E91" s="103">
        <v>4195</v>
      </c>
      <c r="F91" s="104">
        <v>6</v>
      </c>
      <c r="G91" s="105">
        <f>E91*D91</f>
        <v>20975</v>
      </c>
      <c r="H91" s="10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0">
        <f>6700*D91-G91-H91-I91-J91-K91-L91-M91-N91</f>
        <v>12525</v>
      </c>
      <c r="T91" s="81">
        <f t="shared" si="14"/>
        <v>33500</v>
      </c>
      <c r="U91" s="81">
        <f t="shared" si="12"/>
        <v>491559.74999999994</v>
      </c>
      <c r="V91" s="33"/>
    </row>
    <row r="92" spans="1:22" ht="29.25" customHeight="1">
      <c r="A92" s="106">
        <v>12</v>
      </c>
      <c r="B92" s="86" t="s">
        <v>17</v>
      </c>
      <c r="C92" s="152">
        <v>5131</v>
      </c>
      <c r="D92" s="83">
        <v>3</v>
      </c>
      <c r="E92" s="103">
        <v>4195</v>
      </c>
      <c r="F92" s="104">
        <v>6</v>
      </c>
      <c r="G92" s="105">
        <f t="shared" si="13"/>
        <v>12585</v>
      </c>
      <c r="H92" s="10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0">
        <f aca="true" t="shared" si="15" ref="S92:S105">6700*D92-G92-H92-I92-J92-K92-L92-M92-N92</f>
        <v>7515</v>
      </c>
      <c r="T92" s="81">
        <f t="shared" si="14"/>
        <v>20100</v>
      </c>
      <c r="U92" s="81">
        <f t="shared" si="12"/>
        <v>294935.85</v>
      </c>
      <c r="V92" s="33"/>
    </row>
    <row r="93" spans="1:22" ht="12.75" customHeight="1" hidden="1">
      <c r="A93" s="106"/>
      <c r="B93" s="84"/>
      <c r="C93" s="83"/>
      <c r="D93" s="83"/>
      <c r="E93" s="103"/>
      <c r="F93" s="104"/>
      <c r="G93" s="105">
        <f t="shared" si="13"/>
        <v>0</v>
      </c>
      <c r="H93" s="10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0">
        <f t="shared" si="15"/>
        <v>0</v>
      </c>
      <c r="T93" s="81">
        <f t="shared" si="14"/>
        <v>0</v>
      </c>
      <c r="U93" s="81">
        <f t="shared" si="12"/>
        <v>0</v>
      </c>
      <c r="V93" s="33"/>
    </row>
    <row r="94" spans="1:22" ht="19.5" customHeight="1">
      <c r="A94" s="106">
        <v>13</v>
      </c>
      <c r="B94" s="84" t="s">
        <v>122</v>
      </c>
      <c r="C94" s="83">
        <v>1239</v>
      </c>
      <c r="D94" s="83">
        <v>1</v>
      </c>
      <c r="E94" s="103">
        <v>4745</v>
      </c>
      <c r="F94" s="104">
        <v>8</v>
      </c>
      <c r="G94" s="105">
        <f t="shared" si="13"/>
        <v>4745</v>
      </c>
      <c r="H94" s="105"/>
      <c r="I94" s="85"/>
      <c r="J94" s="85">
        <f>E94*50%</f>
        <v>2372.5</v>
      </c>
      <c r="K94" s="85"/>
      <c r="L94" s="85"/>
      <c r="M94" s="85"/>
      <c r="N94" s="85"/>
      <c r="O94" s="85"/>
      <c r="P94" s="85"/>
      <c r="Q94" s="85"/>
      <c r="R94" s="85"/>
      <c r="S94" s="80"/>
      <c r="T94" s="81">
        <f t="shared" si="14"/>
        <v>7117.5</v>
      </c>
      <c r="U94" s="81">
        <f t="shared" si="12"/>
        <v>104741.12999999999</v>
      </c>
      <c r="V94" s="33"/>
    </row>
    <row r="95" spans="1:22" ht="13.5" hidden="1">
      <c r="A95" s="106"/>
      <c r="B95" s="84"/>
      <c r="C95" s="83"/>
      <c r="D95" s="83"/>
      <c r="E95" s="103"/>
      <c r="F95" s="104" t="s">
        <v>55</v>
      </c>
      <c r="G95" s="105">
        <f t="shared" si="13"/>
        <v>0</v>
      </c>
      <c r="H95" s="105"/>
      <c r="I95" s="85"/>
      <c r="J95" s="85"/>
      <c r="K95" s="85"/>
      <c r="L95" s="85"/>
      <c r="M95" s="85"/>
      <c r="N95" s="85">
        <f>E95*D95*15%</f>
        <v>0</v>
      </c>
      <c r="O95" s="85"/>
      <c r="P95" s="85"/>
      <c r="Q95" s="85"/>
      <c r="R95" s="85"/>
      <c r="S95" s="80">
        <f t="shared" si="15"/>
        <v>0</v>
      </c>
      <c r="T95" s="81">
        <f t="shared" si="14"/>
        <v>0</v>
      </c>
      <c r="U95" s="81">
        <f t="shared" si="12"/>
        <v>0</v>
      </c>
      <c r="V95" s="33"/>
    </row>
    <row r="96" spans="1:22" ht="13.5">
      <c r="A96" s="106">
        <v>14</v>
      </c>
      <c r="B96" s="84" t="s">
        <v>8</v>
      </c>
      <c r="C96" s="83">
        <v>5122</v>
      </c>
      <c r="D96" s="83">
        <v>2</v>
      </c>
      <c r="E96" s="103">
        <v>3934</v>
      </c>
      <c r="F96" s="104">
        <v>5</v>
      </c>
      <c r="G96" s="105">
        <f>E96*D96</f>
        <v>7868</v>
      </c>
      <c r="H96" s="105"/>
      <c r="I96" s="85"/>
      <c r="J96" s="85"/>
      <c r="K96" s="85"/>
      <c r="L96" s="85"/>
      <c r="M96" s="85"/>
      <c r="N96" s="85"/>
      <c r="O96" s="85"/>
      <c r="P96" s="85"/>
      <c r="Q96" s="85">
        <f>E96*20%+D96*E96*12%</f>
        <v>1730.96</v>
      </c>
      <c r="R96" s="85"/>
      <c r="S96" s="80">
        <f t="shared" si="15"/>
        <v>5532</v>
      </c>
      <c r="T96" s="81">
        <f t="shared" si="14"/>
        <v>15130.96</v>
      </c>
      <c r="U96" s="81">
        <f t="shared" si="12"/>
        <v>220336.93535999997</v>
      </c>
      <c r="V96" s="33"/>
    </row>
    <row r="97" spans="1:22" ht="30.75" customHeight="1">
      <c r="A97" s="106">
        <v>15</v>
      </c>
      <c r="B97" s="90" t="s">
        <v>128</v>
      </c>
      <c r="C97" s="163">
        <v>9132</v>
      </c>
      <c r="D97" s="83">
        <v>1</v>
      </c>
      <c r="E97" s="103">
        <v>2893</v>
      </c>
      <c r="F97" s="104">
        <v>1</v>
      </c>
      <c r="G97" s="105">
        <f t="shared" si="13"/>
        <v>2893</v>
      </c>
      <c r="H97" s="105"/>
      <c r="I97" s="85"/>
      <c r="J97" s="85"/>
      <c r="K97" s="85"/>
      <c r="L97" s="85"/>
      <c r="M97" s="85"/>
      <c r="N97" s="85"/>
      <c r="O97" s="85"/>
      <c r="P97" s="85"/>
      <c r="Q97" s="85">
        <f>G97*12%</f>
        <v>347.15999999999997</v>
      </c>
      <c r="R97" s="85"/>
      <c r="S97" s="80">
        <f t="shared" si="15"/>
        <v>3807</v>
      </c>
      <c r="T97" s="81">
        <f t="shared" si="14"/>
        <v>7047.16</v>
      </c>
      <c r="U97" s="81">
        <f t="shared" si="12"/>
        <v>101810.64455999999</v>
      </c>
      <c r="V97" s="33"/>
    </row>
    <row r="98" spans="1:22" ht="13.5" hidden="1">
      <c r="A98" s="106"/>
      <c r="B98" s="84"/>
      <c r="C98" s="83"/>
      <c r="D98" s="83"/>
      <c r="E98" s="103">
        <v>1073</v>
      </c>
      <c r="F98" s="104"/>
      <c r="G98" s="105">
        <f t="shared" si="13"/>
        <v>0</v>
      </c>
      <c r="H98" s="105"/>
      <c r="I98" s="85"/>
      <c r="J98" s="85"/>
      <c r="K98" s="85">
        <f>G98*15%</f>
        <v>0</v>
      </c>
      <c r="L98" s="85"/>
      <c r="M98" s="85"/>
      <c r="N98" s="85">
        <f>E98*D98*15%</f>
        <v>0</v>
      </c>
      <c r="O98" s="85"/>
      <c r="P98" s="85"/>
      <c r="Q98" s="85"/>
      <c r="R98" s="85"/>
      <c r="S98" s="80">
        <f t="shared" si="15"/>
        <v>0</v>
      </c>
      <c r="T98" s="81">
        <f t="shared" si="14"/>
        <v>0</v>
      </c>
      <c r="U98" s="81">
        <f t="shared" si="12"/>
        <v>0</v>
      </c>
      <c r="V98" s="33"/>
    </row>
    <row r="99" spans="1:22" ht="13.5" hidden="1">
      <c r="A99" s="106">
        <v>16</v>
      </c>
      <c r="B99" s="84" t="s">
        <v>23</v>
      </c>
      <c r="C99" s="83"/>
      <c r="D99" s="83"/>
      <c r="E99" s="103"/>
      <c r="F99" s="104"/>
      <c r="G99" s="105">
        <f t="shared" si="13"/>
        <v>0</v>
      </c>
      <c r="H99" s="105"/>
      <c r="I99" s="85"/>
      <c r="J99" s="85"/>
      <c r="K99" s="85">
        <f>G99*15%</f>
        <v>0</v>
      </c>
      <c r="L99" s="85"/>
      <c r="M99" s="85"/>
      <c r="N99" s="85"/>
      <c r="O99" s="85"/>
      <c r="P99" s="85"/>
      <c r="Q99" s="85"/>
      <c r="R99" s="85"/>
      <c r="S99" s="80">
        <f t="shared" si="15"/>
        <v>0</v>
      </c>
      <c r="T99" s="81">
        <f t="shared" si="14"/>
        <v>0</v>
      </c>
      <c r="U99" s="81">
        <f t="shared" si="12"/>
        <v>0</v>
      </c>
      <c r="V99" s="33"/>
    </row>
    <row r="100" spans="1:28" ht="33" customHeight="1">
      <c r="A100" s="106">
        <v>16</v>
      </c>
      <c r="B100" s="86" t="s">
        <v>24</v>
      </c>
      <c r="C100" s="152">
        <v>8264</v>
      </c>
      <c r="D100" s="83">
        <v>1</v>
      </c>
      <c r="E100" s="103">
        <v>3153</v>
      </c>
      <c r="F100" s="104">
        <v>2</v>
      </c>
      <c r="G100" s="105">
        <f t="shared" si="13"/>
        <v>3153</v>
      </c>
      <c r="H100" s="105"/>
      <c r="I100" s="85"/>
      <c r="J100" s="85"/>
      <c r="K100" s="85"/>
      <c r="L100" s="85"/>
      <c r="M100" s="85"/>
      <c r="N100" s="85"/>
      <c r="O100" s="85"/>
      <c r="P100" s="85"/>
      <c r="Q100" s="85">
        <f>G100*12%</f>
        <v>378.36</v>
      </c>
      <c r="R100" s="85"/>
      <c r="S100" s="80">
        <f t="shared" si="15"/>
        <v>3547</v>
      </c>
      <c r="T100" s="81">
        <f t="shared" si="14"/>
        <v>7078.360000000001</v>
      </c>
      <c r="U100" s="81">
        <f t="shared" si="12"/>
        <v>102520.94376</v>
      </c>
      <c r="V100" s="33"/>
      <c r="AB100" s="28"/>
    </row>
    <row r="101" spans="1:22" ht="45" customHeight="1">
      <c r="A101" s="106">
        <v>17</v>
      </c>
      <c r="B101" s="86" t="s">
        <v>142</v>
      </c>
      <c r="C101" s="152">
        <v>7129</v>
      </c>
      <c r="D101" s="83">
        <v>1</v>
      </c>
      <c r="E101" s="103">
        <v>3674</v>
      </c>
      <c r="F101" s="104">
        <v>4</v>
      </c>
      <c r="G101" s="105">
        <f t="shared" si="13"/>
        <v>3674</v>
      </c>
      <c r="H101" s="10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0">
        <f t="shared" si="15"/>
        <v>3026</v>
      </c>
      <c r="T101" s="81">
        <f t="shared" si="14"/>
        <v>6700</v>
      </c>
      <c r="U101" s="81">
        <f t="shared" si="12"/>
        <v>97764.9</v>
      </c>
      <c r="V101" s="33"/>
    </row>
    <row r="102" spans="1:22" ht="33" customHeight="1">
      <c r="A102" s="106">
        <v>18</v>
      </c>
      <c r="B102" s="178" t="s">
        <v>125</v>
      </c>
      <c r="C102" s="152">
        <v>9132</v>
      </c>
      <c r="D102" s="83">
        <v>0.5</v>
      </c>
      <c r="E102" s="103">
        <v>3153</v>
      </c>
      <c r="F102" s="104">
        <v>2</v>
      </c>
      <c r="G102" s="105">
        <f t="shared" si="13"/>
        <v>1576.5</v>
      </c>
      <c r="H102" s="105"/>
      <c r="I102" s="85"/>
      <c r="J102" s="85"/>
      <c r="K102" s="85"/>
      <c r="L102" s="85"/>
      <c r="M102" s="85"/>
      <c r="N102" s="85"/>
      <c r="O102" s="85">
        <f>G102*10%</f>
        <v>157.65</v>
      </c>
      <c r="P102" s="85"/>
      <c r="Q102" s="85"/>
      <c r="R102" s="85"/>
      <c r="S102" s="80">
        <f t="shared" si="15"/>
        <v>1773.5</v>
      </c>
      <c r="T102" s="81">
        <f t="shared" si="14"/>
        <v>3507.65</v>
      </c>
      <c r="U102" s="81">
        <f t="shared" si="12"/>
        <v>50818.547399999996</v>
      </c>
      <c r="V102" s="33"/>
    </row>
    <row r="103" spans="1:22" ht="13.5">
      <c r="A103" s="106">
        <v>19</v>
      </c>
      <c r="B103" s="84" t="s">
        <v>10</v>
      </c>
      <c r="C103" s="83">
        <v>9152</v>
      </c>
      <c r="D103" s="83">
        <v>2</v>
      </c>
      <c r="E103" s="103">
        <v>3153</v>
      </c>
      <c r="F103" s="104">
        <v>2</v>
      </c>
      <c r="G103" s="105">
        <f t="shared" si="13"/>
        <v>6306</v>
      </c>
      <c r="H103" s="105"/>
      <c r="I103" s="85"/>
      <c r="J103" s="85"/>
      <c r="K103" s="85"/>
      <c r="L103" s="85"/>
      <c r="M103" s="85"/>
      <c r="N103" s="85"/>
      <c r="O103" s="85"/>
      <c r="P103" s="85"/>
      <c r="Q103" s="85"/>
      <c r="R103" s="85">
        <f>G103*40%</f>
        <v>2522.4</v>
      </c>
      <c r="S103" s="80">
        <f t="shared" si="15"/>
        <v>7094</v>
      </c>
      <c r="T103" s="81">
        <f t="shared" si="14"/>
        <v>15922.4</v>
      </c>
      <c r="U103" s="81">
        <f t="shared" si="12"/>
        <v>229789.65839999996</v>
      </c>
      <c r="V103" s="33"/>
    </row>
    <row r="104" spans="1:22" ht="13.5">
      <c r="A104" s="106">
        <v>20</v>
      </c>
      <c r="B104" s="84" t="s">
        <v>56</v>
      </c>
      <c r="C104" s="83">
        <v>9162</v>
      </c>
      <c r="D104" s="83">
        <v>1</v>
      </c>
      <c r="E104" s="103">
        <v>2893</v>
      </c>
      <c r="F104" s="104">
        <v>1</v>
      </c>
      <c r="G104" s="105">
        <f t="shared" si="13"/>
        <v>2893</v>
      </c>
      <c r="H104" s="10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0">
        <f t="shared" si="15"/>
        <v>3807</v>
      </c>
      <c r="T104" s="81">
        <f t="shared" si="14"/>
        <v>6700</v>
      </c>
      <c r="U104" s="81">
        <f t="shared" si="12"/>
        <v>96944.84999999999</v>
      </c>
      <c r="V104" s="33"/>
    </row>
    <row r="105" spans="1:22" ht="13.5">
      <c r="A105" s="106">
        <v>21</v>
      </c>
      <c r="B105" s="84" t="s">
        <v>12</v>
      </c>
      <c r="C105" s="83">
        <v>4131</v>
      </c>
      <c r="D105" s="83">
        <v>0.25</v>
      </c>
      <c r="E105" s="103">
        <v>3153</v>
      </c>
      <c r="F105" s="104">
        <v>2</v>
      </c>
      <c r="G105" s="105">
        <f t="shared" si="13"/>
        <v>788.25</v>
      </c>
      <c r="H105" s="10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0">
        <f t="shared" si="15"/>
        <v>886.75</v>
      </c>
      <c r="T105" s="81">
        <f t="shared" si="14"/>
        <v>1675</v>
      </c>
      <c r="U105" s="81">
        <f t="shared" si="12"/>
        <v>24304.462499999998</v>
      </c>
      <c r="V105" s="33"/>
    </row>
    <row r="106" spans="1:22" ht="13.5" hidden="1">
      <c r="A106" s="84"/>
      <c r="B106" s="84"/>
      <c r="C106" s="83"/>
      <c r="D106" s="83"/>
      <c r="E106" s="91"/>
      <c r="F106" s="110"/>
      <c r="G106" s="110"/>
      <c r="H106" s="110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0">
        <f>6000*D106-G106-H106-I106-J106-K106-L106-M106-N106</f>
        <v>0</v>
      </c>
      <c r="T106" s="81"/>
      <c r="U106" s="81"/>
      <c r="V106" s="33"/>
    </row>
    <row r="107" spans="1:23" ht="13.5" hidden="1">
      <c r="A107" s="84"/>
      <c r="B107" s="84"/>
      <c r="C107" s="83"/>
      <c r="D107" s="83"/>
      <c r="E107" s="91"/>
      <c r="F107" s="110"/>
      <c r="G107" s="110"/>
      <c r="H107" s="110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0">
        <f>6000*D107-G107-H107-I107-J107-K107-L107-M107-N107</f>
        <v>0</v>
      </c>
      <c r="T107" s="81"/>
      <c r="U107" s="81"/>
      <c r="V107" s="33"/>
      <c r="W107" s="28"/>
    </row>
    <row r="108" spans="1:22" ht="13.5">
      <c r="A108" s="84"/>
      <c r="B108" s="84" t="s">
        <v>6</v>
      </c>
      <c r="C108" s="83"/>
      <c r="D108" s="91">
        <f>SUM(D78:D105)</f>
        <v>36.25</v>
      </c>
      <c r="E108" s="107"/>
      <c r="F108" s="111"/>
      <c r="G108" s="85">
        <f>SUM(G78:G107)</f>
        <v>178053.75</v>
      </c>
      <c r="H108" s="85">
        <f>SUM(H78:H107)</f>
        <v>10640.2</v>
      </c>
      <c r="I108" s="85">
        <f>SUM(I78:I107)</f>
        <v>0</v>
      </c>
      <c r="J108" s="85">
        <f aca="true" t="shared" si="16" ref="J108:S108">SUM(J78:J107)</f>
        <v>2372.5</v>
      </c>
      <c r="K108" s="85">
        <f t="shared" si="16"/>
        <v>0</v>
      </c>
      <c r="L108" s="85">
        <f t="shared" si="16"/>
        <v>6578.2375</v>
      </c>
      <c r="M108" s="85">
        <f t="shared" si="16"/>
        <v>28084.058750000004</v>
      </c>
      <c r="N108" s="85">
        <f t="shared" si="16"/>
        <v>12320.12125</v>
      </c>
      <c r="O108" s="85">
        <f t="shared" si="16"/>
        <v>157.65</v>
      </c>
      <c r="P108" s="85">
        <f t="shared" si="16"/>
        <v>0</v>
      </c>
      <c r="Q108" s="85">
        <f t="shared" si="16"/>
        <v>2456.48</v>
      </c>
      <c r="R108" s="85">
        <f t="shared" si="16"/>
        <v>2522.4</v>
      </c>
      <c r="S108" s="92">
        <f t="shared" si="16"/>
        <v>51137.3</v>
      </c>
      <c r="T108" s="85">
        <f>SUM(T78:T107)</f>
        <v>294322.6975</v>
      </c>
      <c r="U108" s="85">
        <f>SUM(U78:U107)</f>
        <v>4312183.36566</v>
      </c>
      <c r="V108" s="33"/>
    </row>
    <row r="109" spans="1:22" ht="24" customHeight="1">
      <c r="A109" s="6"/>
      <c r="B109" s="6"/>
      <c r="C109" s="16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27"/>
      <c r="T109" s="27"/>
      <c r="U109" s="6"/>
      <c r="V109" s="6"/>
    </row>
    <row r="110" spans="1:21" ht="14.25" customHeight="1">
      <c r="A110" s="6"/>
      <c r="B110" s="6"/>
      <c r="C110" s="166"/>
      <c r="D110" s="39"/>
      <c r="E110" s="39"/>
      <c r="F110" s="194" t="s">
        <v>169</v>
      </c>
      <c r="G110" s="112"/>
      <c r="H110" s="112"/>
      <c r="I110" s="112"/>
      <c r="J110" s="112"/>
      <c r="K110" s="112"/>
      <c r="L110" s="112"/>
      <c r="M110" s="113"/>
      <c r="N110" s="3"/>
      <c r="O110" s="3"/>
      <c r="P110" s="3" t="s">
        <v>170</v>
      </c>
      <c r="Q110" s="113"/>
      <c r="R110" s="6"/>
      <c r="S110" s="6"/>
      <c r="T110" s="6"/>
      <c r="U110" s="28"/>
    </row>
    <row r="111" spans="1:21" ht="14.25" customHeight="1">
      <c r="A111" s="6"/>
      <c r="B111" s="3"/>
      <c r="C111" s="16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3"/>
      <c r="S111" s="3"/>
      <c r="T111" s="6"/>
      <c r="U111" s="6"/>
    </row>
    <row r="112" spans="1:23" ht="15">
      <c r="A112" s="31"/>
      <c r="B112" s="93"/>
      <c r="C112" s="802" t="s">
        <v>168</v>
      </c>
      <c r="D112" s="802"/>
      <c r="E112" s="802"/>
      <c r="F112" s="802"/>
      <c r="G112" s="802"/>
      <c r="H112" s="802"/>
      <c r="I112" s="802"/>
      <c r="J112" s="802"/>
      <c r="K112" s="802"/>
      <c r="L112" s="94"/>
      <c r="M112" s="94"/>
      <c r="N112" s="94"/>
      <c r="O112" s="94"/>
      <c r="P112" s="94" t="s">
        <v>167</v>
      </c>
      <c r="Q112" s="94"/>
      <c r="R112" s="82"/>
      <c r="S112" s="82"/>
      <c r="T112" s="33"/>
      <c r="U112" s="33"/>
      <c r="V112" s="33"/>
      <c r="W112" s="33"/>
    </row>
    <row r="113" spans="1:23" ht="15" hidden="1">
      <c r="A113" s="31"/>
      <c r="B113" s="35"/>
      <c r="C113" s="168"/>
      <c r="D113" s="35"/>
      <c r="E113" s="36"/>
      <c r="F113" s="37"/>
      <c r="G113" s="37"/>
      <c r="H113" s="37"/>
      <c r="I113" s="38"/>
      <c r="J113" s="5"/>
      <c r="K113" s="5"/>
      <c r="L113" s="5"/>
      <c r="M113" s="5"/>
      <c r="N113" s="5"/>
      <c r="O113" s="5"/>
      <c r="P113" s="5"/>
      <c r="Q113" s="5"/>
      <c r="R113" s="5"/>
      <c r="S113" s="33"/>
      <c r="T113" s="33"/>
      <c r="U113" s="33"/>
      <c r="V113" s="33"/>
      <c r="W113" s="33"/>
    </row>
    <row r="114" spans="1:23" ht="14.25" customHeight="1" hidden="1">
      <c r="A114" s="6"/>
      <c r="B114" s="6"/>
      <c r="C114" s="166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0"/>
      <c r="T114" s="30"/>
      <c r="U114" s="6"/>
      <c r="V114" s="6"/>
      <c r="W114" s="6"/>
    </row>
    <row r="115" spans="1:23" ht="15" hidden="1">
      <c r="A115" s="31"/>
      <c r="B115" s="35"/>
      <c r="C115" s="168"/>
      <c r="D115" s="35"/>
      <c r="E115" s="36"/>
      <c r="F115" s="37"/>
      <c r="G115" s="37"/>
      <c r="H115" s="37"/>
      <c r="I115" s="38"/>
      <c r="J115" s="5"/>
      <c r="K115" s="5"/>
      <c r="L115" s="5"/>
      <c r="M115" s="5"/>
      <c r="N115" s="5"/>
      <c r="O115" s="5"/>
      <c r="P115" s="5"/>
      <c r="Q115" s="5"/>
      <c r="R115" s="5"/>
      <c r="S115" s="33"/>
      <c r="T115" s="33"/>
      <c r="U115" s="33"/>
      <c r="V115" s="33"/>
      <c r="W115" s="33"/>
    </row>
    <row r="116" spans="1:23" ht="15.75" customHeight="1">
      <c r="A116" s="154"/>
      <c r="B116" s="6"/>
      <c r="C116" s="166"/>
      <c r="D116" s="6"/>
      <c r="E116" s="6"/>
      <c r="F116" s="155"/>
      <c r="G116" s="155"/>
      <c r="H116" s="155"/>
      <c r="I116" s="6"/>
      <c r="J116" s="29"/>
      <c r="K116" s="6"/>
      <c r="L116" s="6"/>
      <c r="M116" s="6"/>
      <c r="N116" s="6"/>
      <c r="O116" s="6"/>
      <c r="P116" s="6"/>
      <c r="Q116" s="1" t="s">
        <v>102</v>
      </c>
      <c r="R116" s="156">
        <v>4</v>
      </c>
      <c r="S116" s="157"/>
      <c r="T116" s="3"/>
      <c r="U116" s="121"/>
      <c r="V116" s="1"/>
      <c r="W116" s="30"/>
    </row>
    <row r="117" spans="1:24" ht="30.75" customHeight="1">
      <c r="A117" s="154"/>
      <c r="B117" s="6"/>
      <c r="C117" s="166"/>
      <c r="D117" s="6"/>
      <c r="E117" s="6"/>
      <c r="F117" s="155"/>
      <c r="G117" s="155"/>
      <c r="H117" s="155"/>
      <c r="I117" s="6"/>
      <c r="J117" s="29"/>
      <c r="K117" s="6"/>
      <c r="L117" s="6"/>
      <c r="M117" s="6"/>
      <c r="N117" s="6"/>
      <c r="O117" s="6"/>
      <c r="P117" s="6"/>
      <c r="Q117" s="806" t="s">
        <v>103</v>
      </c>
      <c r="R117" s="806"/>
      <c r="S117" s="806"/>
      <c r="T117" s="806"/>
      <c r="U117" s="806"/>
      <c r="V117" s="806"/>
      <c r="W117" s="7"/>
      <c r="X117" s="7"/>
    </row>
    <row r="118" spans="1:23" ht="15.75" customHeight="1">
      <c r="A118" s="154"/>
      <c r="B118" s="6"/>
      <c r="C118" s="166"/>
      <c r="D118" s="6"/>
      <c r="E118" s="6"/>
      <c r="F118" s="155"/>
      <c r="G118" s="155"/>
      <c r="H118" s="155"/>
      <c r="I118" s="6"/>
      <c r="J118" s="29"/>
      <c r="K118" s="6"/>
      <c r="L118" s="6"/>
      <c r="M118" s="6"/>
      <c r="N118" s="6"/>
      <c r="O118" s="6"/>
      <c r="P118" s="6"/>
      <c r="Q118" s="807" t="s">
        <v>104</v>
      </c>
      <c r="R118" s="807"/>
      <c r="S118" s="807"/>
      <c r="T118" s="153" t="s">
        <v>0</v>
      </c>
      <c r="U118" s="159"/>
      <c r="V118" s="153"/>
      <c r="W118" s="8"/>
    </row>
    <row r="119" spans="1:24" ht="57.75" customHeight="1">
      <c r="A119" s="154"/>
      <c r="B119" s="6"/>
      <c r="C119" s="166"/>
      <c r="D119" s="6"/>
      <c r="E119" s="6"/>
      <c r="F119" s="155"/>
      <c r="G119" s="155"/>
      <c r="H119" s="155"/>
      <c r="I119" s="6"/>
      <c r="J119" s="29"/>
      <c r="K119" s="6"/>
      <c r="L119" s="6"/>
      <c r="M119" s="6"/>
      <c r="N119" s="6"/>
      <c r="O119" s="6"/>
      <c r="P119" s="6"/>
      <c r="Q119" s="808" t="s">
        <v>156</v>
      </c>
      <c r="R119" s="808"/>
      <c r="S119" s="808"/>
      <c r="T119" s="808"/>
      <c r="U119" s="808"/>
      <c r="V119" s="808"/>
      <c r="W119" s="8"/>
      <c r="X119" s="8"/>
    </row>
    <row r="120" spans="1:23" ht="27.75" customHeight="1" hidden="1">
      <c r="A120" s="6"/>
      <c r="B120" s="40"/>
      <c r="C120" s="169"/>
      <c r="D120" s="40"/>
      <c r="E120" s="40"/>
      <c r="F120" s="6"/>
      <c r="G120" s="6"/>
      <c r="H120" s="6"/>
      <c r="I120" s="6"/>
      <c r="J120" s="6"/>
      <c r="K120" s="6"/>
      <c r="L120" s="6"/>
      <c r="M120" s="6"/>
      <c r="N120" s="41"/>
      <c r="O120" s="894"/>
      <c r="P120" s="894"/>
      <c r="Q120" s="894"/>
      <c r="R120" s="894"/>
      <c r="S120" s="894"/>
      <c r="T120" s="8"/>
      <c r="U120" s="32"/>
      <c r="V120" s="41"/>
      <c r="W120" s="41"/>
    </row>
    <row r="121" spans="1:23" ht="12.75" customHeight="1">
      <c r="A121" s="3"/>
      <c r="B121" s="3"/>
      <c r="C121" s="16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  <c r="O121" s="54"/>
      <c r="P121" s="54"/>
      <c r="Q121" s="54"/>
      <c r="R121" s="54"/>
      <c r="S121" s="57"/>
      <c r="U121" s="42"/>
      <c r="V121" s="42"/>
      <c r="W121" s="42"/>
    </row>
    <row r="122" spans="1:23" ht="18" customHeight="1">
      <c r="A122" s="3"/>
      <c r="B122" s="805" t="s">
        <v>164</v>
      </c>
      <c r="C122" s="805"/>
      <c r="D122" s="805"/>
      <c r="E122" s="805"/>
      <c r="F122" s="805"/>
      <c r="G122" s="805"/>
      <c r="H122" s="805"/>
      <c r="I122" s="805"/>
      <c r="J122" s="805"/>
      <c r="K122" s="805"/>
      <c r="L122" s="123"/>
      <c r="M122" s="123"/>
      <c r="N122" s="43"/>
      <c r="O122" s="54"/>
      <c r="P122" s="54"/>
      <c r="Q122" s="54"/>
      <c r="R122" s="54"/>
      <c r="S122" s="58"/>
      <c r="T122" s="54"/>
      <c r="U122" s="42"/>
      <c r="V122" s="42"/>
      <c r="W122" s="42"/>
    </row>
    <row r="123" spans="1:14" ht="30" customHeight="1">
      <c r="A123" s="3"/>
      <c r="B123" s="804" t="s">
        <v>95</v>
      </c>
      <c r="C123" s="804"/>
      <c r="D123" s="804"/>
      <c r="E123" s="804"/>
      <c r="F123" s="804"/>
      <c r="G123" s="804"/>
      <c r="H123" s="804"/>
      <c r="I123" s="804"/>
      <c r="J123" s="804"/>
      <c r="K123" s="804"/>
      <c r="L123" s="804"/>
      <c r="M123" s="804"/>
      <c r="N123" s="44"/>
    </row>
    <row r="124" spans="1:20" ht="15.75" customHeight="1">
      <c r="A124" s="3"/>
      <c r="B124" s="193"/>
      <c r="C124" s="170"/>
      <c r="D124" s="135" t="s">
        <v>57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6"/>
      <c r="O124" s="6"/>
      <c r="P124" s="6"/>
      <c r="Q124" s="6"/>
      <c r="R124" s="6"/>
      <c r="S124" s="6"/>
      <c r="T124" s="6"/>
    </row>
    <row r="125" spans="1:20" ht="7.5" customHeight="1">
      <c r="A125" s="3"/>
      <c r="B125" s="135"/>
      <c r="C125" s="170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6"/>
      <c r="O125" s="31"/>
      <c r="P125" s="31"/>
      <c r="Q125" s="31"/>
      <c r="R125" s="31"/>
      <c r="S125" s="31"/>
      <c r="T125" s="31"/>
    </row>
    <row r="126" spans="1:20" ht="17.25">
      <c r="A126" s="3"/>
      <c r="B126" s="135" t="s">
        <v>106</v>
      </c>
      <c r="C126" s="170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6"/>
      <c r="O126" s="31"/>
      <c r="P126" s="31"/>
      <c r="Q126" s="31"/>
      <c r="R126" s="31"/>
      <c r="S126" s="31"/>
      <c r="T126" s="31"/>
    </row>
    <row r="127" spans="1:20" ht="17.25">
      <c r="A127" s="3"/>
      <c r="B127" s="135" t="s">
        <v>107</v>
      </c>
      <c r="C127" s="170"/>
      <c r="D127" s="151" t="s">
        <v>105</v>
      </c>
      <c r="E127" s="151"/>
      <c r="F127" s="135"/>
      <c r="G127" s="135"/>
      <c r="H127" s="135"/>
      <c r="I127" s="135"/>
      <c r="J127" s="135"/>
      <c r="K127" s="135"/>
      <c r="L127" s="135"/>
      <c r="M127" s="135"/>
      <c r="N127" s="6"/>
      <c r="O127" s="31"/>
      <c r="P127" s="31"/>
      <c r="Q127" s="31"/>
      <c r="R127" s="31"/>
      <c r="S127" s="31"/>
      <c r="T127" s="31"/>
    </row>
    <row r="128" spans="1:20" ht="13.5" hidden="1">
      <c r="A128" s="6"/>
      <c r="B128" s="6"/>
      <c r="C128" s="16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3.5" hidden="1">
      <c r="A129" s="6"/>
      <c r="B129" s="829"/>
      <c r="C129" s="829"/>
      <c r="D129" s="82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s="1" customFormat="1" ht="12.75" customHeight="1">
      <c r="A130" s="855" t="s">
        <v>0</v>
      </c>
      <c r="B130" s="66" t="s">
        <v>1</v>
      </c>
      <c r="C130" s="890" t="s">
        <v>117</v>
      </c>
      <c r="D130" s="67" t="s">
        <v>2</v>
      </c>
      <c r="E130" s="848" t="s">
        <v>34</v>
      </c>
      <c r="F130" s="848" t="s">
        <v>35</v>
      </c>
      <c r="G130" s="882" t="s">
        <v>58</v>
      </c>
      <c r="H130" s="882" t="s">
        <v>39</v>
      </c>
      <c r="I130" s="889" t="s">
        <v>59</v>
      </c>
      <c r="J130" s="889"/>
      <c r="K130" s="889"/>
      <c r="L130" s="893" t="s">
        <v>22</v>
      </c>
      <c r="M130" s="893" t="s">
        <v>50</v>
      </c>
      <c r="N130" s="919" t="s">
        <v>19</v>
      </c>
      <c r="O130" s="920"/>
      <c r="P130" s="921"/>
      <c r="Q130" s="125"/>
      <c r="R130" s="849" t="s">
        <v>100</v>
      </c>
      <c r="S130" s="826" t="s">
        <v>60</v>
      </c>
      <c r="T130" s="826" t="s">
        <v>143</v>
      </c>
    </row>
    <row r="131" spans="1:20" s="1" customFormat="1" ht="12.75" customHeight="1">
      <c r="A131" s="856"/>
      <c r="B131" s="70" t="s">
        <v>18</v>
      </c>
      <c r="C131" s="891"/>
      <c r="D131" s="70" t="s">
        <v>3</v>
      </c>
      <c r="E131" s="848"/>
      <c r="F131" s="848"/>
      <c r="G131" s="882"/>
      <c r="H131" s="882"/>
      <c r="I131" s="883" t="s">
        <v>61</v>
      </c>
      <c r="J131" s="883" t="s">
        <v>49</v>
      </c>
      <c r="K131" s="883" t="s">
        <v>30</v>
      </c>
      <c r="L131" s="893"/>
      <c r="M131" s="893"/>
      <c r="N131" s="883" t="s">
        <v>20</v>
      </c>
      <c r="O131" s="905" t="s">
        <v>62</v>
      </c>
      <c r="P131" s="883" t="s">
        <v>63</v>
      </c>
      <c r="Q131" s="886"/>
      <c r="R131" s="850"/>
      <c r="S131" s="827"/>
      <c r="T131" s="827"/>
    </row>
    <row r="132" spans="1:20" s="1" customFormat="1" ht="15" customHeight="1">
      <c r="A132" s="856"/>
      <c r="B132" s="70"/>
      <c r="C132" s="891"/>
      <c r="D132" s="70" t="s">
        <v>4</v>
      </c>
      <c r="E132" s="848"/>
      <c r="F132" s="848"/>
      <c r="G132" s="882"/>
      <c r="H132" s="882"/>
      <c r="I132" s="884"/>
      <c r="J132" s="884"/>
      <c r="K132" s="884"/>
      <c r="L132" s="893"/>
      <c r="M132" s="893"/>
      <c r="N132" s="884"/>
      <c r="O132" s="906"/>
      <c r="P132" s="884"/>
      <c r="Q132" s="887"/>
      <c r="R132" s="850"/>
      <c r="S132" s="827"/>
      <c r="T132" s="827"/>
    </row>
    <row r="133" spans="1:20" s="1" customFormat="1" ht="13.5">
      <c r="A133" s="69"/>
      <c r="B133" s="70"/>
      <c r="C133" s="891"/>
      <c r="D133" s="70"/>
      <c r="E133" s="848"/>
      <c r="F133" s="848"/>
      <c r="G133" s="882"/>
      <c r="H133" s="882"/>
      <c r="I133" s="884"/>
      <c r="J133" s="884"/>
      <c r="K133" s="884"/>
      <c r="L133" s="893"/>
      <c r="M133" s="893"/>
      <c r="N133" s="884"/>
      <c r="O133" s="906"/>
      <c r="P133" s="884"/>
      <c r="Q133" s="887"/>
      <c r="R133" s="850"/>
      <c r="S133" s="827"/>
      <c r="T133" s="827"/>
    </row>
    <row r="134" spans="1:20" s="1" customFormat="1" ht="94.5" customHeight="1">
      <c r="A134" s="71"/>
      <c r="B134" s="72"/>
      <c r="C134" s="892"/>
      <c r="D134" s="73"/>
      <c r="E134" s="848"/>
      <c r="F134" s="848"/>
      <c r="G134" s="882"/>
      <c r="H134" s="882"/>
      <c r="I134" s="885"/>
      <c r="J134" s="885"/>
      <c r="K134" s="885"/>
      <c r="L134" s="893"/>
      <c r="M134" s="893"/>
      <c r="N134" s="885"/>
      <c r="O134" s="907"/>
      <c r="P134" s="885"/>
      <c r="Q134" s="888"/>
      <c r="R134" s="851"/>
      <c r="S134" s="828"/>
      <c r="T134" s="828"/>
    </row>
    <row r="135" spans="1:20" s="1" customFormat="1" ht="13.5">
      <c r="A135" s="102">
        <v>1</v>
      </c>
      <c r="B135" s="75" t="s">
        <v>37</v>
      </c>
      <c r="C135" s="74" t="s">
        <v>118</v>
      </c>
      <c r="D135" s="74">
        <v>1</v>
      </c>
      <c r="E135" s="103">
        <v>8071</v>
      </c>
      <c r="F135" s="104">
        <v>16</v>
      </c>
      <c r="G135" s="105">
        <f>E135*D135</f>
        <v>8071</v>
      </c>
      <c r="H135" s="105">
        <f>G135*10%</f>
        <v>807.1</v>
      </c>
      <c r="I135" s="78">
        <f>E135*3%</f>
        <v>242.13</v>
      </c>
      <c r="J135" s="78">
        <f>G135*20%</f>
        <v>1614.2</v>
      </c>
      <c r="K135" s="78"/>
      <c r="L135" s="78">
        <f>(G135+H135+I135+J135+K135)*30%</f>
        <v>3220.329</v>
      </c>
      <c r="M135" s="78">
        <f>(G135+H135+I135+J135+K135)*10%</f>
        <v>1073.443</v>
      </c>
      <c r="N135" s="78"/>
      <c r="O135" s="78"/>
      <c r="P135" s="78"/>
      <c r="Q135" s="78"/>
      <c r="R135" s="80"/>
      <c r="S135" s="81">
        <f>G135+H135+I135+J135+K135+L135+M135+N135+O135+P135+R135</f>
        <v>15028.202</v>
      </c>
      <c r="T135" s="81">
        <f>(S135*12*1.168)+G135+G135*5%</f>
        <v>219109.82923199996</v>
      </c>
    </row>
    <row r="136" spans="1:20" s="1" customFormat="1" ht="13.5">
      <c r="A136" s="106">
        <v>2</v>
      </c>
      <c r="B136" s="84" t="s">
        <v>11</v>
      </c>
      <c r="C136" s="83" t="s">
        <v>119</v>
      </c>
      <c r="D136" s="83">
        <v>1</v>
      </c>
      <c r="E136" s="103">
        <v>7001</v>
      </c>
      <c r="F136" s="104">
        <v>14</v>
      </c>
      <c r="G136" s="105">
        <f aca="true" t="shared" si="17" ref="G136:G178">E136*D136</f>
        <v>7001</v>
      </c>
      <c r="H136" s="105">
        <f aca="true" t="shared" si="18" ref="H136:H156">G136*10%</f>
        <v>700.1</v>
      </c>
      <c r="I136" s="78"/>
      <c r="J136" s="78">
        <f>G136*10%</f>
        <v>700.1</v>
      </c>
      <c r="K136" s="85">
        <f>G136*10%</f>
        <v>700.1</v>
      </c>
      <c r="L136" s="78">
        <f>(G136+H136+I136+J136+K136)*30%</f>
        <v>2730.3900000000003</v>
      </c>
      <c r="M136" s="78">
        <f>(G136+H136+I136+J136+K136)*10%</f>
        <v>910.1300000000001</v>
      </c>
      <c r="N136" s="85"/>
      <c r="O136" s="85"/>
      <c r="P136" s="85"/>
      <c r="Q136" s="85"/>
      <c r="R136" s="80"/>
      <c r="S136" s="81">
        <f aca="true" t="shared" si="19" ref="S136:S170">G136+H136+I136+J136+K136+L136+M136+N136+O136+P136+R136</f>
        <v>12741.820000000003</v>
      </c>
      <c r="T136" s="81">
        <f>(S136*12*1.168)+G136+G136*5%</f>
        <v>185940.39912000002</v>
      </c>
    </row>
    <row r="137" spans="1:20" s="1" customFormat="1" ht="13.5">
      <c r="A137" s="106">
        <v>3</v>
      </c>
      <c r="B137" s="84" t="s">
        <v>27</v>
      </c>
      <c r="C137" s="83" t="s">
        <v>120</v>
      </c>
      <c r="D137" s="83">
        <v>1</v>
      </c>
      <c r="E137" s="103">
        <v>5005</v>
      </c>
      <c r="F137" s="115" t="s">
        <v>64</v>
      </c>
      <c r="G137" s="105">
        <f>E137*D137</f>
        <v>5005</v>
      </c>
      <c r="H137" s="105">
        <f t="shared" si="18"/>
        <v>500.5</v>
      </c>
      <c r="I137" s="16"/>
      <c r="J137" s="78">
        <f>G137*20%</f>
        <v>1001</v>
      </c>
      <c r="K137" s="85">
        <v>750.75</v>
      </c>
      <c r="L137" s="78">
        <f>(G137+H137+I137+J137+K137)*30%</f>
        <v>2177.1749999999997</v>
      </c>
      <c r="M137" s="78">
        <f aca="true" t="shared" si="20" ref="M137:M156">(G137+H137+I137+J137+K137)*10%</f>
        <v>725.725</v>
      </c>
      <c r="N137" s="85"/>
      <c r="O137" s="85"/>
      <c r="P137" s="85"/>
      <c r="Q137" s="85"/>
      <c r="R137" s="80"/>
      <c r="S137" s="81">
        <f t="shared" si="19"/>
        <v>10160.15</v>
      </c>
      <c r="T137" s="81">
        <f aca="true" t="shared" si="21" ref="T137:T156">(S137*12*1.168)+G137+G137*5%</f>
        <v>147659.91239999997</v>
      </c>
    </row>
    <row r="138" spans="1:20" s="1" customFormat="1" ht="15.75" customHeight="1">
      <c r="A138" s="106">
        <v>4</v>
      </c>
      <c r="B138" s="84" t="s">
        <v>27</v>
      </c>
      <c r="C138" s="83" t="s">
        <v>120</v>
      </c>
      <c r="D138" s="83">
        <v>0.5</v>
      </c>
      <c r="E138" s="103">
        <v>5005</v>
      </c>
      <c r="F138" s="115" t="s">
        <v>64</v>
      </c>
      <c r="G138" s="105">
        <f t="shared" si="17"/>
        <v>2502.5</v>
      </c>
      <c r="H138" s="105">
        <f t="shared" si="18"/>
        <v>250.25</v>
      </c>
      <c r="I138" s="78"/>
      <c r="J138" s="78">
        <v>250.25</v>
      </c>
      <c r="K138" s="85"/>
      <c r="L138" s="78">
        <v>900.9</v>
      </c>
      <c r="M138" s="78">
        <v>300.3</v>
      </c>
      <c r="N138" s="85"/>
      <c r="O138" s="85"/>
      <c r="P138" s="85"/>
      <c r="Q138" s="85"/>
      <c r="R138" s="80"/>
      <c r="S138" s="81">
        <f>G138+H138+I138+J138+K138+L138+M138+N138+O138+P138+R138</f>
        <v>4204.2</v>
      </c>
      <c r="T138" s="81">
        <f t="shared" si="21"/>
        <v>61553.69219999999</v>
      </c>
    </row>
    <row r="139" spans="1:20" s="1" customFormat="1" ht="15.75" customHeight="1">
      <c r="A139" s="106">
        <v>5</v>
      </c>
      <c r="B139" s="84" t="s">
        <v>27</v>
      </c>
      <c r="C139" s="83" t="s">
        <v>120</v>
      </c>
      <c r="D139" s="83">
        <v>0.5</v>
      </c>
      <c r="E139" s="103">
        <v>5005</v>
      </c>
      <c r="F139" s="115" t="s">
        <v>64</v>
      </c>
      <c r="G139" s="105">
        <f t="shared" si="17"/>
        <v>2502.5</v>
      </c>
      <c r="H139" s="105">
        <f t="shared" si="18"/>
        <v>250.25</v>
      </c>
      <c r="I139" s="78"/>
      <c r="J139" s="78">
        <v>250.25</v>
      </c>
      <c r="K139" s="85"/>
      <c r="L139" s="78">
        <v>300.3</v>
      </c>
      <c r="M139" s="78">
        <v>300.3</v>
      </c>
      <c r="N139" s="85"/>
      <c r="O139" s="85"/>
      <c r="P139" s="85"/>
      <c r="Q139" s="85"/>
      <c r="R139" s="80"/>
      <c r="S139" s="81">
        <f t="shared" si="19"/>
        <v>3603.6000000000004</v>
      </c>
      <c r="T139" s="81">
        <f t="shared" si="21"/>
        <v>53135.6826</v>
      </c>
    </row>
    <row r="140" spans="1:20" s="1" customFormat="1" ht="17.25" customHeight="1">
      <c r="A140" s="106">
        <v>6</v>
      </c>
      <c r="B140" s="86" t="s">
        <v>135</v>
      </c>
      <c r="C140" s="152">
        <v>3475</v>
      </c>
      <c r="D140" s="83">
        <v>1</v>
      </c>
      <c r="E140" s="103">
        <v>5005</v>
      </c>
      <c r="F140" s="104">
        <v>9</v>
      </c>
      <c r="G140" s="105">
        <f t="shared" si="17"/>
        <v>5005</v>
      </c>
      <c r="H140" s="105">
        <f t="shared" si="18"/>
        <v>500.5</v>
      </c>
      <c r="I140" s="78"/>
      <c r="J140" s="78">
        <f>G140*20%*0.75</f>
        <v>750.75</v>
      </c>
      <c r="K140" s="85">
        <v>750.75</v>
      </c>
      <c r="L140" s="78">
        <f>(G140+H140+I140+J140+K140)*30%</f>
        <v>2102.1</v>
      </c>
      <c r="M140" s="78">
        <f t="shared" si="20"/>
        <v>700.7</v>
      </c>
      <c r="N140" s="85"/>
      <c r="O140" s="85"/>
      <c r="P140" s="85"/>
      <c r="Q140" s="85"/>
      <c r="R140" s="80"/>
      <c r="S140" s="81">
        <f t="shared" si="19"/>
        <v>9809.800000000001</v>
      </c>
      <c r="T140" s="81">
        <f t="shared" si="21"/>
        <v>142749.4068</v>
      </c>
    </row>
    <row r="141" spans="1:20" s="1" customFormat="1" ht="13.5">
      <c r="A141" s="106">
        <v>7</v>
      </c>
      <c r="B141" s="84" t="s">
        <v>13</v>
      </c>
      <c r="C141" s="83" t="s">
        <v>121</v>
      </c>
      <c r="D141" s="83">
        <v>1</v>
      </c>
      <c r="E141" s="103">
        <v>7001</v>
      </c>
      <c r="F141" s="104">
        <v>14</v>
      </c>
      <c r="G141" s="105">
        <f t="shared" si="17"/>
        <v>7001</v>
      </c>
      <c r="H141" s="105">
        <f t="shared" si="18"/>
        <v>700.1</v>
      </c>
      <c r="I141" s="85"/>
      <c r="J141" s="78">
        <f>G141*20%*0.5</f>
        <v>700.1</v>
      </c>
      <c r="K141" s="85"/>
      <c r="L141" s="78">
        <f>(G141+H141+I141+J141+K141)*30%</f>
        <v>2520.36</v>
      </c>
      <c r="M141" s="78">
        <f t="shared" si="20"/>
        <v>840.1200000000001</v>
      </c>
      <c r="N141" s="85"/>
      <c r="O141" s="85"/>
      <c r="P141" s="85"/>
      <c r="Q141" s="85"/>
      <c r="R141" s="80"/>
      <c r="S141" s="81">
        <f>G141+H141+I141+J141+K141+L141+M141+N141+O141+P141+R141</f>
        <v>11761.680000000002</v>
      </c>
      <c r="T141" s="81">
        <f t="shared" si="21"/>
        <v>172202.75688000003</v>
      </c>
    </row>
    <row r="142" spans="1:22" s="1" customFormat="1" ht="13.5">
      <c r="A142" s="106">
        <v>8</v>
      </c>
      <c r="B142" s="909" t="s">
        <v>93</v>
      </c>
      <c r="C142" s="912">
        <v>2340</v>
      </c>
      <c r="D142" s="83">
        <v>4</v>
      </c>
      <c r="E142" s="107">
        <v>7001</v>
      </c>
      <c r="F142" s="104">
        <v>14</v>
      </c>
      <c r="G142" s="105">
        <f t="shared" si="17"/>
        <v>28004</v>
      </c>
      <c r="H142" s="105">
        <f t="shared" si="18"/>
        <v>2800.4</v>
      </c>
      <c r="I142" s="85"/>
      <c r="J142" s="78">
        <f aca="true" t="shared" si="22" ref="J142:J148">G142*20%</f>
        <v>5600.8</v>
      </c>
      <c r="K142" s="85"/>
      <c r="L142" s="78">
        <f>(G142+H142+I142+J142+K142)*30%</f>
        <v>10921.560000000001</v>
      </c>
      <c r="M142" s="78">
        <f t="shared" si="20"/>
        <v>3640.5200000000004</v>
      </c>
      <c r="N142" s="85"/>
      <c r="O142" s="85"/>
      <c r="P142" s="85"/>
      <c r="Q142" s="85"/>
      <c r="R142" s="80"/>
      <c r="S142" s="81">
        <f t="shared" si="19"/>
        <v>50967.28000000001</v>
      </c>
      <c r="T142" s="81">
        <f t="shared" si="21"/>
        <v>743761.5964800001</v>
      </c>
      <c r="U142" s="2"/>
      <c r="V142" s="126"/>
    </row>
    <row r="143" spans="1:22" s="1" customFormat="1" ht="13.5" customHeight="1" hidden="1">
      <c r="A143" s="106">
        <v>8</v>
      </c>
      <c r="B143" s="910"/>
      <c r="C143" s="913"/>
      <c r="D143" s="83"/>
      <c r="E143" s="107">
        <v>6461</v>
      </c>
      <c r="F143" s="104">
        <v>14</v>
      </c>
      <c r="G143" s="105">
        <f t="shared" si="17"/>
        <v>0</v>
      </c>
      <c r="H143" s="105">
        <f t="shared" si="18"/>
        <v>0</v>
      </c>
      <c r="I143" s="85"/>
      <c r="J143" s="78">
        <f t="shared" si="22"/>
        <v>0</v>
      </c>
      <c r="K143" s="85"/>
      <c r="L143" s="78">
        <f>(G143+H143+I143+J143+K143)*30%</f>
        <v>0</v>
      </c>
      <c r="M143" s="78">
        <f t="shared" si="20"/>
        <v>0</v>
      </c>
      <c r="N143" s="85"/>
      <c r="O143" s="85"/>
      <c r="P143" s="85"/>
      <c r="Q143" s="85"/>
      <c r="R143" s="80"/>
      <c r="S143" s="81">
        <f t="shared" si="19"/>
        <v>0</v>
      </c>
      <c r="T143" s="81">
        <f t="shared" si="21"/>
        <v>0</v>
      </c>
      <c r="U143" s="2"/>
      <c r="V143" s="2"/>
    </row>
    <row r="144" spans="1:22" s="1" customFormat="1" ht="14.25" customHeight="1" hidden="1">
      <c r="A144" s="106">
        <v>9</v>
      </c>
      <c r="B144" s="910"/>
      <c r="C144" s="913"/>
      <c r="D144" s="83"/>
      <c r="E144" s="107">
        <v>6461</v>
      </c>
      <c r="F144" s="104">
        <v>14</v>
      </c>
      <c r="G144" s="105">
        <f t="shared" si="17"/>
        <v>0</v>
      </c>
      <c r="H144" s="105">
        <f t="shared" si="18"/>
        <v>0</v>
      </c>
      <c r="I144" s="85"/>
      <c r="J144" s="78">
        <f t="shared" si="22"/>
        <v>0</v>
      </c>
      <c r="K144" s="85"/>
      <c r="L144" s="78">
        <f>(G144+H144+I144+J144+K144)*30%</f>
        <v>0</v>
      </c>
      <c r="M144" s="78">
        <f t="shared" si="20"/>
        <v>0</v>
      </c>
      <c r="N144" s="85"/>
      <c r="O144" s="85"/>
      <c r="P144" s="85"/>
      <c r="Q144" s="85"/>
      <c r="R144" s="80"/>
      <c r="S144" s="81">
        <f t="shared" si="19"/>
        <v>0</v>
      </c>
      <c r="T144" s="81">
        <f t="shared" si="21"/>
        <v>0</v>
      </c>
      <c r="U144" s="2"/>
      <c r="V144" s="2"/>
    </row>
    <row r="145" spans="1:22" s="1" customFormat="1" ht="13.5">
      <c r="A145" s="106">
        <v>9</v>
      </c>
      <c r="B145" s="911"/>
      <c r="C145" s="914"/>
      <c r="D145" s="83">
        <v>1</v>
      </c>
      <c r="E145" s="107">
        <v>5699</v>
      </c>
      <c r="F145" s="104">
        <v>11</v>
      </c>
      <c r="G145" s="105">
        <f t="shared" si="17"/>
        <v>5699</v>
      </c>
      <c r="H145" s="105">
        <f t="shared" si="18"/>
        <v>569.9</v>
      </c>
      <c r="I145" s="85"/>
      <c r="J145" s="78">
        <f t="shared" si="22"/>
        <v>1139.8</v>
      </c>
      <c r="K145" s="85"/>
      <c r="L145" s="78">
        <f>(G145+H145+I145+J145+K145)*10%</f>
        <v>740.87</v>
      </c>
      <c r="M145" s="78">
        <f t="shared" si="20"/>
        <v>740.87</v>
      </c>
      <c r="N145" s="85"/>
      <c r="O145" s="85"/>
      <c r="P145" s="85"/>
      <c r="Q145" s="85"/>
      <c r="R145" s="80"/>
      <c r="S145" s="81">
        <f t="shared" si="19"/>
        <v>8890.44</v>
      </c>
      <c r="T145" s="81">
        <f t="shared" si="21"/>
        <v>130592.35703999999</v>
      </c>
      <c r="U145" s="2"/>
      <c r="V145" s="2"/>
    </row>
    <row r="146" spans="1:22" ht="13.5" customHeight="1" hidden="1">
      <c r="A146" s="59">
        <v>11</v>
      </c>
      <c r="B146" s="922" t="s">
        <v>123</v>
      </c>
      <c r="C146" s="160"/>
      <c r="D146" s="23"/>
      <c r="E146" s="13">
        <v>6461</v>
      </c>
      <c r="F146" s="14">
        <v>14</v>
      </c>
      <c r="G146" s="15">
        <f t="shared" si="17"/>
        <v>0</v>
      </c>
      <c r="H146" s="15">
        <f t="shared" si="18"/>
        <v>0</v>
      </c>
      <c r="I146" s="17"/>
      <c r="J146" s="16">
        <f t="shared" si="22"/>
        <v>0</v>
      </c>
      <c r="K146" s="17"/>
      <c r="L146" s="16">
        <f>(G146+H146+I146+J146+K146)*30%</f>
        <v>0</v>
      </c>
      <c r="M146" s="16">
        <f t="shared" si="20"/>
        <v>0</v>
      </c>
      <c r="N146" s="17"/>
      <c r="O146" s="17"/>
      <c r="P146" s="17"/>
      <c r="Q146" s="17"/>
      <c r="R146" s="18"/>
      <c r="S146" s="19">
        <f t="shared" si="19"/>
        <v>0</v>
      </c>
      <c r="T146" s="19">
        <f t="shared" si="21"/>
        <v>0</v>
      </c>
      <c r="U146" s="32"/>
      <c r="V146" s="34"/>
    </row>
    <row r="147" spans="1:22" s="1" customFormat="1" ht="16.5" customHeight="1">
      <c r="A147" s="127">
        <v>10</v>
      </c>
      <c r="B147" s="923"/>
      <c r="C147" s="824">
        <v>2340</v>
      </c>
      <c r="D147" s="83">
        <v>1.5</v>
      </c>
      <c r="E147" s="107">
        <v>5699</v>
      </c>
      <c r="F147" s="104">
        <v>11</v>
      </c>
      <c r="G147" s="105">
        <f>E147*D147</f>
        <v>8548.5</v>
      </c>
      <c r="H147" s="105">
        <f t="shared" si="18"/>
        <v>854.85</v>
      </c>
      <c r="I147" s="85"/>
      <c r="J147" s="78">
        <f t="shared" si="22"/>
        <v>1709.7</v>
      </c>
      <c r="K147" s="85"/>
      <c r="L147" s="78">
        <f>(1367.6+341.9)*1.0835</f>
        <v>1852.2432499999998</v>
      </c>
      <c r="M147" s="78">
        <f t="shared" si="20"/>
        <v>1111.305</v>
      </c>
      <c r="N147" s="85"/>
      <c r="O147" s="85"/>
      <c r="P147" s="85"/>
      <c r="Q147" s="85"/>
      <c r="R147" s="80"/>
      <c r="S147" s="81">
        <f t="shared" si="19"/>
        <v>14076.598250000001</v>
      </c>
      <c r="T147" s="81">
        <f t="shared" si="21"/>
        <v>206273.52607199998</v>
      </c>
      <c r="U147" s="2"/>
      <c r="V147" s="126"/>
    </row>
    <row r="148" spans="1:22" s="1" customFormat="1" ht="14.25" customHeight="1">
      <c r="A148" s="127">
        <v>11</v>
      </c>
      <c r="B148" s="924"/>
      <c r="C148" s="825"/>
      <c r="D148" s="83">
        <v>1.5</v>
      </c>
      <c r="E148" s="107">
        <v>6567</v>
      </c>
      <c r="F148" s="104">
        <v>13</v>
      </c>
      <c r="G148" s="105">
        <f t="shared" si="17"/>
        <v>9850.5</v>
      </c>
      <c r="H148" s="105">
        <f t="shared" si="18"/>
        <v>985.0500000000001</v>
      </c>
      <c r="I148" s="85"/>
      <c r="J148" s="78">
        <f t="shared" si="22"/>
        <v>1970.1000000000001</v>
      </c>
      <c r="K148" s="85"/>
      <c r="L148" s="78">
        <f>(2363.79+787.93)*1.0835</f>
        <v>3414.8886199999997</v>
      </c>
      <c r="M148" s="78">
        <f t="shared" si="20"/>
        <v>1280.565</v>
      </c>
      <c r="N148" s="85"/>
      <c r="O148" s="85"/>
      <c r="P148" s="85"/>
      <c r="Q148" s="85"/>
      <c r="R148" s="80"/>
      <c r="S148" s="81">
        <f t="shared" si="19"/>
        <v>17501.103619999998</v>
      </c>
      <c r="T148" s="81">
        <f t="shared" si="21"/>
        <v>255638.49333791996</v>
      </c>
      <c r="U148" s="2"/>
      <c r="V148" s="126"/>
    </row>
    <row r="149" spans="1:22" s="1" customFormat="1" ht="26.25" customHeight="1">
      <c r="A149" s="106">
        <v>12</v>
      </c>
      <c r="B149" s="181" t="s">
        <v>129</v>
      </c>
      <c r="C149" s="171">
        <v>3231</v>
      </c>
      <c r="D149" s="83">
        <v>1.5</v>
      </c>
      <c r="E149" s="103">
        <v>4195</v>
      </c>
      <c r="F149" s="104">
        <v>6</v>
      </c>
      <c r="G149" s="105">
        <f t="shared" si="17"/>
        <v>6292.5</v>
      </c>
      <c r="H149" s="105"/>
      <c r="I149" s="85"/>
      <c r="J149" s="78"/>
      <c r="K149" s="85">
        <f>G149*10%</f>
        <v>629.25</v>
      </c>
      <c r="L149" s="78">
        <f>(G149+H149+I149+K149)*20%</f>
        <v>1384.3500000000001</v>
      </c>
      <c r="M149" s="78"/>
      <c r="N149" s="85"/>
      <c r="O149" s="85"/>
      <c r="P149" s="85"/>
      <c r="Q149" s="85"/>
      <c r="R149" s="80">
        <f>6700*D149-G149-H149-I149-J149-K149-L149-M149</f>
        <v>1743.8999999999999</v>
      </c>
      <c r="S149" s="81">
        <f>G149+H149+I149+J149+K149+L149+M149+N149+O149+P149+R149</f>
        <v>10050</v>
      </c>
      <c r="T149" s="81">
        <f t="shared" si="21"/>
        <v>147467.925</v>
      </c>
      <c r="U149" s="2"/>
      <c r="V149" s="2"/>
    </row>
    <row r="150" spans="1:20" s="1" customFormat="1" ht="33" customHeight="1">
      <c r="A150" s="106">
        <v>13</v>
      </c>
      <c r="B150" s="86" t="s">
        <v>132</v>
      </c>
      <c r="C150" s="152">
        <v>3231</v>
      </c>
      <c r="D150" s="83">
        <v>1</v>
      </c>
      <c r="E150" s="107">
        <v>4195</v>
      </c>
      <c r="F150" s="104">
        <v>9</v>
      </c>
      <c r="G150" s="105">
        <f t="shared" si="17"/>
        <v>4195</v>
      </c>
      <c r="H150" s="105"/>
      <c r="I150" s="85"/>
      <c r="J150" s="78"/>
      <c r="K150" s="85"/>
      <c r="L150" s="78">
        <v>419.5</v>
      </c>
      <c r="M150" s="78"/>
      <c r="N150" s="85"/>
      <c r="O150" s="85"/>
      <c r="P150" s="85"/>
      <c r="Q150" s="85"/>
      <c r="R150" s="80">
        <f>6700*D150-G150-H150-I150-J150-K150-L150-M150</f>
        <v>2085.5</v>
      </c>
      <c r="S150" s="81">
        <f t="shared" si="19"/>
        <v>6700</v>
      </c>
      <c r="T150" s="81">
        <f t="shared" si="21"/>
        <v>98311.95</v>
      </c>
    </row>
    <row r="151" spans="1:20" s="1" customFormat="1" ht="14.25" customHeight="1">
      <c r="A151" s="106">
        <v>14</v>
      </c>
      <c r="B151" s="84" t="s">
        <v>65</v>
      </c>
      <c r="C151" s="83" t="s">
        <v>124</v>
      </c>
      <c r="D151" s="83">
        <v>0.5</v>
      </c>
      <c r="E151" s="107">
        <v>6567</v>
      </c>
      <c r="F151" s="104">
        <v>12</v>
      </c>
      <c r="G151" s="105">
        <f t="shared" si="17"/>
        <v>3283.5</v>
      </c>
      <c r="H151" s="105"/>
      <c r="I151" s="85"/>
      <c r="J151" s="78"/>
      <c r="K151" s="85"/>
      <c r="L151" s="78">
        <f>(G151+H151+I151+K151)*30%</f>
        <v>985.05</v>
      </c>
      <c r="M151" s="78"/>
      <c r="N151" s="85"/>
      <c r="O151" s="85"/>
      <c r="P151" s="85"/>
      <c r="Q151" s="85"/>
      <c r="R151" s="80"/>
      <c r="S151" s="81">
        <f t="shared" si="19"/>
        <v>4268.55</v>
      </c>
      <c r="T151" s="81">
        <f t="shared" si="21"/>
        <v>63275.671800000004</v>
      </c>
    </row>
    <row r="152" spans="1:20" s="1" customFormat="1" ht="32.25" customHeight="1">
      <c r="A152" s="106">
        <v>15</v>
      </c>
      <c r="B152" s="86" t="s">
        <v>162</v>
      </c>
      <c r="C152" s="83">
        <v>2332</v>
      </c>
      <c r="D152" s="83">
        <v>5.1</v>
      </c>
      <c r="E152" s="103">
        <v>7001</v>
      </c>
      <c r="F152" s="104">
        <v>14</v>
      </c>
      <c r="G152" s="105">
        <f>E152*D152</f>
        <v>35705.1</v>
      </c>
      <c r="H152" s="105">
        <f>G152*10%</f>
        <v>3570.51</v>
      </c>
      <c r="I152" s="81"/>
      <c r="J152" s="78">
        <v>4340.62</v>
      </c>
      <c r="K152" s="85">
        <v>1050.15</v>
      </c>
      <c r="L152" s="85">
        <v>13399.92</v>
      </c>
      <c r="M152" s="78">
        <v>4466.64</v>
      </c>
      <c r="N152" s="85"/>
      <c r="O152" s="85"/>
      <c r="P152" s="85"/>
      <c r="Q152" s="85"/>
      <c r="R152" s="80"/>
      <c r="S152" s="81">
        <f t="shared" si="19"/>
        <v>62532.94</v>
      </c>
      <c r="T152" s="81">
        <f t="shared" si="21"/>
        <v>913952.04204</v>
      </c>
    </row>
    <row r="153" spans="1:23" s="1" customFormat="1" ht="32.25" customHeight="1">
      <c r="A153" s="106">
        <v>16</v>
      </c>
      <c r="B153" s="86" t="s">
        <v>159</v>
      </c>
      <c r="C153" s="152">
        <v>2332</v>
      </c>
      <c r="D153" s="83">
        <v>1.1</v>
      </c>
      <c r="E153" s="103">
        <v>6567</v>
      </c>
      <c r="F153" s="115" t="s">
        <v>45</v>
      </c>
      <c r="G153" s="105">
        <f t="shared" si="17"/>
        <v>7223.700000000001</v>
      </c>
      <c r="H153" s="105">
        <f t="shared" si="18"/>
        <v>722.3700000000001</v>
      </c>
      <c r="I153" s="78"/>
      <c r="J153" s="78">
        <v>1444.74</v>
      </c>
      <c r="K153" s="85"/>
      <c r="L153" s="85">
        <v>2817.24</v>
      </c>
      <c r="M153" s="78">
        <v>939.08</v>
      </c>
      <c r="N153" s="85"/>
      <c r="O153" s="85"/>
      <c r="P153" s="85"/>
      <c r="Q153" s="85"/>
      <c r="R153" s="80"/>
      <c r="S153" s="81">
        <f t="shared" si="19"/>
        <v>13147.130000000001</v>
      </c>
      <c r="T153" s="81">
        <f t="shared" si="21"/>
        <v>191855.05908</v>
      </c>
      <c r="V153" s="121"/>
      <c r="W153" s="121"/>
    </row>
    <row r="154" spans="1:23" s="1" customFormat="1" ht="32.25" customHeight="1">
      <c r="A154" s="106">
        <v>17</v>
      </c>
      <c r="B154" s="86" t="s">
        <v>163</v>
      </c>
      <c r="C154" s="152">
        <v>2332</v>
      </c>
      <c r="D154" s="83">
        <v>1</v>
      </c>
      <c r="E154" s="103">
        <v>6133</v>
      </c>
      <c r="F154" s="115" t="s">
        <v>66</v>
      </c>
      <c r="G154" s="105">
        <f t="shared" si="17"/>
        <v>6133</v>
      </c>
      <c r="H154" s="105">
        <f t="shared" si="18"/>
        <v>613.3000000000001</v>
      </c>
      <c r="I154" s="78"/>
      <c r="J154" s="78"/>
      <c r="K154" s="85"/>
      <c r="L154" s="85">
        <v>1349.26</v>
      </c>
      <c r="M154" s="78">
        <f t="shared" si="20"/>
        <v>674.6300000000001</v>
      </c>
      <c r="N154" s="85"/>
      <c r="O154" s="85"/>
      <c r="P154" s="85"/>
      <c r="Q154" s="85"/>
      <c r="R154" s="80"/>
      <c r="S154" s="81">
        <f t="shared" si="19"/>
        <v>8770.19</v>
      </c>
      <c r="T154" s="81">
        <f t="shared" si="21"/>
        <v>129362.63303999999</v>
      </c>
      <c r="V154" s="65"/>
      <c r="W154" s="65"/>
    </row>
    <row r="155" spans="1:23" ht="31.5" customHeight="1">
      <c r="A155" s="106">
        <v>18</v>
      </c>
      <c r="B155" s="86" t="s">
        <v>158</v>
      </c>
      <c r="C155" s="152">
        <v>2332</v>
      </c>
      <c r="D155" s="91">
        <v>15.8</v>
      </c>
      <c r="E155" s="103">
        <v>5699</v>
      </c>
      <c r="F155" s="114" t="s">
        <v>53</v>
      </c>
      <c r="G155" s="105">
        <f>E155*D155</f>
        <v>90044.2</v>
      </c>
      <c r="H155" s="105">
        <f t="shared" si="18"/>
        <v>9004.42</v>
      </c>
      <c r="I155" s="16"/>
      <c r="J155" s="138">
        <v>9668.54</v>
      </c>
      <c r="K155" s="85">
        <v>9793.58</v>
      </c>
      <c r="L155" s="85">
        <v>28680.22</v>
      </c>
      <c r="M155" s="78">
        <v>11851.08</v>
      </c>
      <c r="N155" s="17"/>
      <c r="O155" s="17"/>
      <c r="P155" s="17"/>
      <c r="Q155" s="17"/>
      <c r="R155" s="80"/>
      <c r="S155" s="81">
        <f t="shared" si="19"/>
        <v>159042.04</v>
      </c>
      <c r="T155" s="81">
        <f t="shared" si="21"/>
        <v>2323679.64264</v>
      </c>
      <c r="V155" s="53"/>
      <c r="W155" s="53"/>
    </row>
    <row r="156" spans="1:23" ht="17.25" customHeight="1" hidden="1">
      <c r="A156" s="56">
        <v>21</v>
      </c>
      <c r="B156" s="21" t="s">
        <v>67</v>
      </c>
      <c r="C156" s="167"/>
      <c r="D156" s="23"/>
      <c r="E156" s="20">
        <v>4859</v>
      </c>
      <c r="F156" s="22" t="s">
        <v>54</v>
      </c>
      <c r="G156" s="15">
        <f t="shared" si="17"/>
        <v>0</v>
      </c>
      <c r="H156" s="15">
        <f t="shared" si="18"/>
        <v>0</v>
      </c>
      <c r="I156" s="16"/>
      <c r="J156" s="16"/>
      <c r="K156" s="17"/>
      <c r="L156" s="17">
        <f>(G156+H156)*10%</f>
        <v>0</v>
      </c>
      <c r="M156" s="16">
        <f t="shared" si="20"/>
        <v>0</v>
      </c>
      <c r="N156" s="17"/>
      <c r="O156" s="17"/>
      <c r="P156" s="17"/>
      <c r="Q156" s="17"/>
      <c r="R156" s="80">
        <f>6700*D156-G156-H156-I156-J156-K156-L156-M156</f>
        <v>0</v>
      </c>
      <c r="S156" s="19">
        <f t="shared" si="19"/>
        <v>0</v>
      </c>
      <c r="T156" s="81">
        <f t="shared" si="21"/>
        <v>0</v>
      </c>
      <c r="V156" s="53"/>
      <c r="W156" s="53"/>
    </row>
    <row r="157" spans="1:23" s="1" customFormat="1" ht="31.5" customHeight="1">
      <c r="A157" s="106">
        <v>19</v>
      </c>
      <c r="B157" s="86" t="s">
        <v>25</v>
      </c>
      <c r="C157" s="152">
        <v>5131</v>
      </c>
      <c r="D157" s="83">
        <v>9.25</v>
      </c>
      <c r="E157" s="103">
        <v>4195</v>
      </c>
      <c r="F157" s="104">
        <v>6</v>
      </c>
      <c r="G157" s="105">
        <f t="shared" si="17"/>
        <v>38803.75</v>
      </c>
      <c r="H157" s="105"/>
      <c r="I157" s="85"/>
      <c r="J157" s="85">
        <f>E157*5.75*20%</f>
        <v>4824.25</v>
      </c>
      <c r="K157" s="85"/>
      <c r="L157" s="85"/>
      <c r="M157" s="85"/>
      <c r="N157" s="85"/>
      <c r="O157" s="85"/>
      <c r="P157" s="85"/>
      <c r="Q157" s="85"/>
      <c r="R157" s="80">
        <f>6700*D157-G157-H157-I157-J157-K157-L157-M157</f>
        <v>18347</v>
      </c>
      <c r="S157" s="81">
        <f t="shared" si="19"/>
        <v>61975</v>
      </c>
      <c r="T157" s="81">
        <f>(S157*12*1.168)+G157</f>
        <v>907445.35</v>
      </c>
      <c r="W157" s="116"/>
    </row>
    <row r="158" spans="1:23" s="1" customFormat="1" ht="30.75" customHeight="1">
      <c r="A158" s="106">
        <v>20</v>
      </c>
      <c r="B158" s="86" t="s">
        <v>17</v>
      </c>
      <c r="C158" s="152">
        <v>5131</v>
      </c>
      <c r="D158" s="83">
        <v>2.5</v>
      </c>
      <c r="E158" s="103">
        <v>4195</v>
      </c>
      <c r="F158" s="104">
        <v>6</v>
      </c>
      <c r="G158" s="105">
        <f t="shared" si="17"/>
        <v>10487.5</v>
      </c>
      <c r="H158" s="105"/>
      <c r="I158" s="85"/>
      <c r="J158" s="85">
        <f>E158*1.15*20%</f>
        <v>964.85</v>
      </c>
      <c r="K158" s="85"/>
      <c r="L158" s="85"/>
      <c r="M158" s="85"/>
      <c r="N158" s="85"/>
      <c r="O158" s="85"/>
      <c r="P158" s="85"/>
      <c r="Q158" s="85"/>
      <c r="R158" s="80">
        <f aca="true" t="shared" si="23" ref="R158:R170">6700*D158-G158-H158-I158-J158-K158-L158-M158</f>
        <v>5297.65</v>
      </c>
      <c r="S158" s="81">
        <f t="shared" si="19"/>
        <v>16750</v>
      </c>
      <c r="T158" s="81">
        <f aca="true" t="shared" si="24" ref="T158:T170">(S158*12*1.168)+G158</f>
        <v>245255.49999999997</v>
      </c>
      <c r="W158" s="116"/>
    </row>
    <row r="159" spans="1:20" s="1" customFormat="1" ht="21" customHeight="1" hidden="1">
      <c r="A159" s="106"/>
      <c r="B159" s="84"/>
      <c r="C159" s="83"/>
      <c r="D159" s="83"/>
      <c r="E159" s="103"/>
      <c r="F159" s="104"/>
      <c r="G159" s="105">
        <f t="shared" si="17"/>
        <v>0</v>
      </c>
      <c r="H159" s="105"/>
      <c r="I159" s="85"/>
      <c r="J159" s="85"/>
      <c r="K159" s="85"/>
      <c r="L159" s="85"/>
      <c r="M159" s="85"/>
      <c r="N159" s="85"/>
      <c r="O159" s="85"/>
      <c r="P159" s="85"/>
      <c r="Q159" s="85"/>
      <c r="R159" s="80">
        <f t="shared" si="23"/>
        <v>0</v>
      </c>
      <c r="S159" s="81">
        <f t="shared" si="19"/>
        <v>0</v>
      </c>
      <c r="T159" s="81">
        <f t="shared" si="24"/>
        <v>0</v>
      </c>
    </row>
    <row r="160" spans="1:20" s="1" customFormat="1" ht="15" customHeight="1">
      <c r="A160" s="106">
        <v>21</v>
      </c>
      <c r="B160" s="84" t="s">
        <v>122</v>
      </c>
      <c r="C160" s="83">
        <v>1239</v>
      </c>
      <c r="D160" s="83">
        <v>1</v>
      </c>
      <c r="E160" s="103">
        <v>4745</v>
      </c>
      <c r="F160" s="104">
        <v>8</v>
      </c>
      <c r="G160" s="105">
        <f t="shared" si="17"/>
        <v>4745</v>
      </c>
      <c r="H160" s="105"/>
      <c r="I160" s="85">
        <f>G160*50%</f>
        <v>2372.5</v>
      </c>
      <c r="J160" s="85">
        <f>E160*15%</f>
        <v>711.75</v>
      </c>
      <c r="K160" s="85"/>
      <c r="L160" s="85"/>
      <c r="M160" s="85"/>
      <c r="N160" s="85"/>
      <c r="O160" s="85"/>
      <c r="P160" s="85"/>
      <c r="Q160" s="85"/>
      <c r="R160" s="80"/>
      <c r="S160" s="81">
        <f t="shared" si="19"/>
        <v>7829.25</v>
      </c>
      <c r="T160" s="81">
        <f t="shared" si="24"/>
        <v>114479.768</v>
      </c>
    </row>
    <row r="161" spans="1:20" s="1" customFormat="1" ht="17.25" customHeight="1">
      <c r="A161" s="106">
        <v>22</v>
      </c>
      <c r="B161" s="84" t="s">
        <v>68</v>
      </c>
      <c r="C161" s="83">
        <v>3570</v>
      </c>
      <c r="D161" s="83">
        <v>1</v>
      </c>
      <c r="E161" s="103">
        <v>4195</v>
      </c>
      <c r="F161" s="104">
        <v>6</v>
      </c>
      <c r="G161" s="105">
        <f t="shared" si="17"/>
        <v>4195</v>
      </c>
      <c r="H161" s="105"/>
      <c r="I161" s="85"/>
      <c r="J161" s="85"/>
      <c r="K161" s="85"/>
      <c r="L161" s="85"/>
      <c r="M161" s="85"/>
      <c r="N161" s="85"/>
      <c r="O161" s="85">
        <f>E161*D161*12%</f>
        <v>503.4</v>
      </c>
      <c r="P161" s="85"/>
      <c r="Q161" s="85"/>
      <c r="R161" s="80">
        <f t="shared" si="23"/>
        <v>2505</v>
      </c>
      <c r="S161" s="81">
        <f t="shared" si="19"/>
        <v>7203.4</v>
      </c>
      <c r="T161" s="81">
        <f t="shared" si="24"/>
        <v>105157.85439999998</v>
      </c>
    </row>
    <row r="162" spans="1:20" s="1" customFormat="1" ht="17.25" customHeight="1">
      <c r="A162" s="106">
        <v>23</v>
      </c>
      <c r="B162" s="84" t="s">
        <v>8</v>
      </c>
      <c r="C162" s="83">
        <v>5122</v>
      </c>
      <c r="D162" s="83">
        <v>2</v>
      </c>
      <c r="E162" s="103">
        <v>3934</v>
      </c>
      <c r="F162" s="104">
        <v>5</v>
      </c>
      <c r="G162" s="105">
        <f t="shared" si="17"/>
        <v>7868</v>
      </c>
      <c r="H162" s="105"/>
      <c r="I162" s="85"/>
      <c r="J162" s="85"/>
      <c r="K162" s="85"/>
      <c r="L162" s="85"/>
      <c r="M162" s="85"/>
      <c r="N162" s="85"/>
      <c r="O162" s="85">
        <f>E162*D162*12%</f>
        <v>944.16</v>
      </c>
      <c r="P162" s="85"/>
      <c r="Q162" s="85"/>
      <c r="R162" s="80">
        <f t="shared" si="23"/>
        <v>5532</v>
      </c>
      <c r="S162" s="81">
        <f t="shared" si="19"/>
        <v>14344.16</v>
      </c>
      <c r="T162" s="81">
        <f t="shared" si="24"/>
        <v>208915.74655999997</v>
      </c>
    </row>
    <row r="163" spans="1:20" s="1" customFormat="1" ht="17.25" customHeight="1">
      <c r="A163" s="106">
        <v>24</v>
      </c>
      <c r="B163" s="84" t="s">
        <v>69</v>
      </c>
      <c r="C163" s="83">
        <v>9322</v>
      </c>
      <c r="D163" s="83">
        <v>1</v>
      </c>
      <c r="E163" s="103">
        <v>2893</v>
      </c>
      <c r="F163" s="104">
        <v>1</v>
      </c>
      <c r="G163" s="105">
        <f t="shared" si="17"/>
        <v>2893</v>
      </c>
      <c r="H163" s="105"/>
      <c r="I163" s="85"/>
      <c r="J163" s="85"/>
      <c r="K163" s="85"/>
      <c r="L163" s="85"/>
      <c r="M163" s="85"/>
      <c r="N163" s="85"/>
      <c r="O163" s="85">
        <f>E163*D163*12%</f>
        <v>347.15999999999997</v>
      </c>
      <c r="P163" s="85"/>
      <c r="Q163" s="85"/>
      <c r="R163" s="80">
        <f t="shared" si="23"/>
        <v>3807</v>
      </c>
      <c r="S163" s="81">
        <f t="shared" si="19"/>
        <v>7047.16</v>
      </c>
      <c r="T163" s="81">
        <f t="shared" si="24"/>
        <v>101665.99455999999</v>
      </c>
    </row>
    <row r="164" spans="1:20" s="1" customFormat="1" ht="17.25" customHeight="1">
      <c r="A164" s="106">
        <v>25</v>
      </c>
      <c r="B164" s="84" t="s">
        <v>12</v>
      </c>
      <c r="C164" s="83">
        <v>4132</v>
      </c>
      <c r="D164" s="83">
        <v>1</v>
      </c>
      <c r="E164" s="103">
        <v>3153</v>
      </c>
      <c r="F164" s="104">
        <v>2</v>
      </c>
      <c r="G164" s="105">
        <f t="shared" si="17"/>
        <v>3153</v>
      </c>
      <c r="H164" s="105"/>
      <c r="I164" s="85"/>
      <c r="J164" s="85"/>
      <c r="K164" s="85"/>
      <c r="L164" s="85"/>
      <c r="M164" s="85"/>
      <c r="N164" s="85"/>
      <c r="O164" s="85"/>
      <c r="P164" s="85"/>
      <c r="Q164" s="85"/>
      <c r="R164" s="80">
        <f t="shared" si="23"/>
        <v>3547</v>
      </c>
      <c r="S164" s="81">
        <f t="shared" si="19"/>
        <v>6700</v>
      </c>
      <c r="T164" s="81">
        <f t="shared" si="24"/>
        <v>97060.2</v>
      </c>
    </row>
    <row r="165" spans="1:20" s="1" customFormat="1" ht="18" customHeight="1" hidden="1">
      <c r="A165" s="106"/>
      <c r="B165" s="84"/>
      <c r="C165" s="83"/>
      <c r="D165" s="83"/>
      <c r="E165" s="103"/>
      <c r="F165" s="104"/>
      <c r="G165" s="105">
        <f t="shared" si="17"/>
        <v>0</v>
      </c>
      <c r="H165" s="105"/>
      <c r="I165" s="85"/>
      <c r="J165" s="85"/>
      <c r="K165" s="85"/>
      <c r="L165" s="85"/>
      <c r="M165" s="85"/>
      <c r="N165" s="85"/>
      <c r="O165" s="85"/>
      <c r="P165" s="85"/>
      <c r="Q165" s="85"/>
      <c r="R165" s="80">
        <f t="shared" si="23"/>
        <v>0</v>
      </c>
      <c r="S165" s="81">
        <f t="shared" si="19"/>
        <v>0</v>
      </c>
      <c r="T165" s="81">
        <f t="shared" si="24"/>
        <v>0</v>
      </c>
    </row>
    <row r="166" spans="1:20" s="1" customFormat="1" ht="29.25" customHeight="1">
      <c r="A166" s="106">
        <v>26</v>
      </c>
      <c r="B166" s="86" t="s">
        <v>24</v>
      </c>
      <c r="C166" s="152">
        <v>8264</v>
      </c>
      <c r="D166" s="83">
        <v>1</v>
      </c>
      <c r="E166" s="103">
        <v>3153</v>
      </c>
      <c r="F166" s="104">
        <v>2</v>
      </c>
      <c r="G166" s="105">
        <f t="shared" si="17"/>
        <v>3153</v>
      </c>
      <c r="H166" s="105"/>
      <c r="I166" s="85"/>
      <c r="J166" s="85"/>
      <c r="K166" s="85"/>
      <c r="L166" s="85"/>
      <c r="M166" s="85"/>
      <c r="N166" s="85"/>
      <c r="O166" s="85">
        <f>E166*D166*12%</f>
        <v>378.36</v>
      </c>
      <c r="P166" s="85"/>
      <c r="Q166" s="85"/>
      <c r="R166" s="80">
        <f t="shared" si="23"/>
        <v>3547</v>
      </c>
      <c r="S166" s="81">
        <f t="shared" si="19"/>
        <v>7078.360000000001</v>
      </c>
      <c r="T166" s="81">
        <f t="shared" si="24"/>
        <v>102363.29376</v>
      </c>
    </row>
    <row r="167" spans="1:20" s="1" customFormat="1" ht="44.25" customHeight="1">
      <c r="A167" s="106">
        <v>27</v>
      </c>
      <c r="B167" s="86" t="s">
        <v>142</v>
      </c>
      <c r="C167" s="152">
        <v>7129</v>
      </c>
      <c r="D167" s="83">
        <v>1</v>
      </c>
      <c r="E167" s="103">
        <v>3674</v>
      </c>
      <c r="F167" s="104">
        <v>4</v>
      </c>
      <c r="G167" s="105">
        <f t="shared" si="17"/>
        <v>3674</v>
      </c>
      <c r="H167" s="105"/>
      <c r="I167" s="85"/>
      <c r="J167" s="85"/>
      <c r="K167" s="85"/>
      <c r="L167" s="85"/>
      <c r="M167" s="85"/>
      <c r="N167" s="85"/>
      <c r="O167" s="85"/>
      <c r="P167" s="85"/>
      <c r="Q167" s="85"/>
      <c r="R167" s="80">
        <f t="shared" si="23"/>
        <v>3026</v>
      </c>
      <c r="S167" s="81">
        <f t="shared" si="19"/>
        <v>6700</v>
      </c>
      <c r="T167" s="81">
        <f t="shared" si="24"/>
        <v>97581.2</v>
      </c>
    </row>
    <row r="168" spans="1:20" s="1" customFormat="1" ht="19.5" customHeight="1">
      <c r="A168" s="106">
        <v>28</v>
      </c>
      <c r="B168" s="84" t="s">
        <v>70</v>
      </c>
      <c r="C168" s="83">
        <v>9132</v>
      </c>
      <c r="D168" s="83">
        <v>1</v>
      </c>
      <c r="E168" s="103">
        <v>3153</v>
      </c>
      <c r="F168" s="104">
        <v>2</v>
      </c>
      <c r="G168" s="105">
        <f t="shared" si="17"/>
        <v>3153</v>
      </c>
      <c r="H168" s="105"/>
      <c r="I168" s="85"/>
      <c r="J168" s="85"/>
      <c r="K168" s="85"/>
      <c r="L168" s="85"/>
      <c r="M168" s="85"/>
      <c r="N168" s="85">
        <f>E168*10%</f>
        <v>315.3</v>
      </c>
      <c r="O168" s="85"/>
      <c r="P168" s="85"/>
      <c r="Q168" s="85"/>
      <c r="R168" s="80">
        <f t="shared" si="23"/>
        <v>3547</v>
      </c>
      <c r="S168" s="81">
        <f t="shared" si="19"/>
        <v>7015.3</v>
      </c>
      <c r="T168" s="81">
        <f t="shared" si="24"/>
        <v>101479.4448</v>
      </c>
    </row>
    <row r="169" spans="1:20" s="1" customFormat="1" ht="15" customHeight="1">
      <c r="A169" s="106">
        <v>29</v>
      </c>
      <c r="B169" s="84" t="s">
        <v>10</v>
      </c>
      <c r="C169" s="83">
        <v>9152</v>
      </c>
      <c r="D169" s="83">
        <v>2</v>
      </c>
      <c r="E169" s="103">
        <v>3153</v>
      </c>
      <c r="F169" s="104">
        <v>2</v>
      </c>
      <c r="G169" s="105">
        <f t="shared" si="17"/>
        <v>6306</v>
      </c>
      <c r="H169" s="105"/>
      <c r="I169" s="85"/>
      <c r="J169" s="85"/>
      <c r="K169" s="85"/>
      <c r="L169" s="85"/>
      <c r="M169" s="85"/>
      <c r="N169" s="85"/>
      <c r="O169" s="85"/>
      <c r="P169" s="85">
        <f>E169*40%*D169</f>
        <v>2522.4</v>
      </c>
      <c r="Q169" s="85"/>
      <c r="R169" s="80">
        <f t="shared" si="23"/>
        <v>7094</v>
      </c>
      <c r="S169" s="81">
        <f t="shared" si="19"/>
        <v>15922.4</v>
      </c>
      <c r="T169" s="81">
        <f t="shared" si="24"/>
        <v>229474.35839999997</v>
      </c>
    </row>
    <row r="170" spans="1:20" s="1" customFormat="1" ht="15" customHeight="1">
      <c r="A170" s="106">
        <v>30</v>
      </c>
      <c r="B170" s="84" t="s">
        <v>9</v>
      </c>
      <c r="C170" s="83">
        <v>9162</v>
      </c>
      <c r="D170" s="83">
        <v>1</v>
      </c>
      <c r="E170" s="103">
        <v>2893</v>
      </c>
      <c r="F170" s="104">
        <v>1</v>
      </c>
      <c r="G170" s="105">
        <f t="shared" si="17"/>
        <v>2893</v>
      </c>
      <c r="H170" s="105"/>
      <c r="I170" s="85"/>
      <c r="J170" s="85"/>
      <c r="K170" s="85"/>
      <c r="L170" s="85"/>
      <c r="M170" s="85"/>
      <c r="N170" s="85"/>
      <c r="O170" s="85"/>
      <c r="P170" s="85"/>
      <c r="Q170" s="85"/>
      <c r="R170" s="80">
        <f t="shared" si="23"/>
        <v>3807</v>
      </c>
      <c r="S170" s="81">
        <f t="shared" si="19"/>
        <v>6700</v>
      </c>
      <c r="T170" s="81">
        <f t="shared" si="24"/>
        <v>96800.2</v>
      </c>
    </row>
    <row r="171" spans="1:20" s="1" customFormat="1" ht="13.5" hidden="1">
      <c r="A171" s="84"/>
      <c r="B171" s="128"/>
      <c r="C171" s="152"/>
      <c r="D171" s="83"/>
      <c r="E171" s="107"/>
      <c r="F171" s="129"/>
      <c r="G171" s="104">
        <f t="shared" si="17"/>
        <v>0</v>
      </c>
      <c r="H171" s="129"/>
      <c r="I171" s="85"/>
      <c r="J171" s="85"/>
      <c r="K171" s="85"/>
      <c r="L171" s="85"/>
      <c r="M171" s="85"/>
      <c r="N171" s="85"/>
      <c r="O171" s="85"/>
      <c r="P171" s="85"/>
      <c r="Q171" s="85"/>
      <c r="R171" s="80">
        <f aca="true" t="shared" si="25" ref="R171:R178">6500*D171-G171-H171-I171-J171-K171-L171-M171</f>
        <v>0</v>
      </c>
      <c r="S171" s="81"/>
      <c r="T171" s="81">
        <f aca="true" t="shared" si="26" ref="T171:T178">S171*9+S171*1.031*3+G171</f>
        <v>0</v>
      </c>
    </row>
    <row r="172" spans="1:20" s="1" customFormat="1" ht="13.5" hidden="1">
      <c r="A172" s="84"/>
      <c r="B172" s="128"/>
      <c r="C172" s="152"/>
      <c r="D172" s="83"/>
      <c r="E172" s="107"/>
      <c r="F172" s="129"/>
      <c r="G172" s="104">
        <f t="shared" si="17"/>
        <v>0</v>
      </c>
      <c r="H172" s="129"/>
      <c r="I172" s="85"/>
      <c r="J172" s="85"/>
      <c r="K172" s="85"/>
      <c r="L172" s="85"/>
      <c r="M172" s="85"/>
      <c r="N172" s="85"/>
      <c r="O172" s="85"/>
      <c r="P172" s="85"/>
      <c r="Q172" s="85"/>
      <c r="R172" s="80">
        <f t="shared" si="25"/>
        <v>0</v>
      </c>
      <c r="S172" s="81"/>
      <c r="T172" s="81">
        <f t="shared" si="26"/>
        <v>0</v>
      </c>
    </row>
    <row r="173" spans="1:20" s="1" customFormat="1" ht="13.5" hidden="1">
      <c r="A173" s="84"/>
      <c r="B173" s="128"/>
      <c r="C173" s="152"/>
      <c r="D173" s="83"/>
      <c r="E173" s="107"/>
      <c r="F173" s="129"/>
      <c r="G173" s="104">
        <f t="shared" si="17"/>
        <v>0</v>
      </c>
      <c r="H173" s="129"/>
      <c r="I173" s="85"/>
      <c r="J173" s="85"/>
      <c r="K173" s="85"/>
      <c r="L173" s="85"/>
      <c r="M173" s="85"/>
      <c r="N173" s="85"/>
      <c r="O173" s="85"/>
      <c r="P173" s="85"/>
      <c r="Q173" s="85"/>
      <c r="R173" s="80">
        <f t="shared" si="25"/>
        <v>0</v>
      </c>
      <c r="S173" s="81"/>
      <c r="T173" s="81">
        <f t="shared" si="26"/>
        <v>0</v>
      </c>
    </row>
    <row r="174" spans="1:20" s="1" customFormat="1" ht="13.5" hidden="1">
      <c r="A174" s="84"/>
      <c r="B174" s="128"/>
      <c r="C174" s="152"/>
      <c r="D174" s="83"/>
      <c r="E174" s="107"/>
      <c r="F174" s="129"/>
      <c r="G174" s="104">
        <f t="shared" si="17"/>
        <v>0</v>
      </c>
      <c r="H174" s="129"/>
      <c r="I174" s="85"/>
      <c r="J174" s="85"/>
      <c r="K174" s="85"/>
      <c r="L174" s="85"/>
      <c r="M174" s="85"/>
      <c r="N174" s="85"/>
      <c r="O174" s="85"/>
      <c r="P174" s="85"/>
      <c r="Q174" s="85"/>
      <c r="R174" s="80">
        <f t="shared" si="25"/>
        <v>0</v>
      </c>
      <c r="S174" s="81"/>
      <c r="T174" s="81">
        <f t="shared" si="26"/>
        <v>0</v>
      </c>
    </row>
    <row r="175" spans="1:20" s="1" customFormat="1" ht="13.5" hidden="1">
      <c r="A175" s="84"/>
      <c r="B175" s="128"/>
      <c r="C175" s="152"/>
      <c r="D175" s="83"/>
      <c r="E175" s="107"/>
      <c r="F175" s="129"/>
      <c r="G175" s="104">
        <f t="shared" si="17"/>
        <v>0</v>
      </c>
      <c r="H175" s="129"/>
      <c r="I175" s="85"/>
      <c r="J175" s="85"/>
      <c r="K175" s="85"/>
      <c r="L175" s="85"/>
      <c r="M175" s="85"/>
      <c r="N175" s="85"/>
      <c r="O175" s="85"/>
      <c r="P175" s="85"/>
      <c r="Q175" s="85"/>
      <c r="R175" s="80">
        <f t="shared" si="25"/>
        <v>0</v>
      </c>
      <c r="S175" s="81"/>
      <c r="T175" s="81">
        <f t="shared" si="26"/>
        <v>0</v>
      </c>
    </row>
    <row r="176" spans="1:20" s="1" customFormat="1" ht="13.5" hidden="1">
      <c r="A176" s="84"/>
      <c r="B176" s="84"/>
      <c r="C176" s="83"/>
      <c r="D176" s="83"/>
      <c r="E176" s="107"/>
      <c r="F176" s="129"/>
      <c r="G176" s="104">
        <f t="shared" si="17"/>
        <v>0</v>
      </c>
      <c r="H176" s="129"/>
      <c r="I176" s="85"/>
      <c r="J176" s="85"/>
      <c r="K176" s="85"/>
      <c r="L176" s="85"/>
      <c r="M176" s="85"/>
      <c r="N176" s="85"/>
      <c r="O176" s="85"/>
      <c r="P176" s="85"/>
      <c r="Q176" s="85"/>
      <c r="R176" s="80">
        <f t="shared" si="25"/>
        <v>0</v>
      </c>
      <c r="S176" s="81"/>
      <c r="T176" s="81">
        <f t="shared" si="26"/>
        <v>0</v>
      </c>
    </row>
    <row r="177" spans="1:21" s="1" customFormat="1" ht="12" customHeight="1" hidden="1">
      <c r="A177" s="84"/>
      <c r="B177" s="84"/>
      <c r="C177" s="83"/>
      <c r="D177" s="83"/>
      <c r="E177" s="91"/>
      <c r="F177" s="110"/>
      <c r="G177" s="104">
        <f t="shared" si="17"/>
        <v>0</v>
      </c>
      <c r="H177" s="110"/>
      <c r="I177" s="85"/>
      <c r="J177" s="85"/>
      <c r="K177" s="85"/>
      <c r="L177" s="85"/>
      <c r="M177" s="85"/>
      <c r="N177" s="85"/>
      <c r="O177" s="85"/>
      <c r="P177" s="85"/>
      <c r="Q177" s="85"/>
      <c r="R177" s="80">
        <f t="shared" si="25"/>
        <v>0</v>
      </c>
      <c r="S177" s="81"/>
      <c r="T177" s="81">
        <f t="shared" si="26"/>
        <v>0</v>
      </c>
      <c r="U177" s="116"/>
    </row>
    <row r="178" spans="1:20" s="1" customFormat="1" ht="0.75" customHeight="1">
      <c r="A178" s="84"/>
      <c r="B178" s="84"/>
      <c r="C178" s="83"/>
      <c r="D178" s="83"/>
      <c r="E178" s="91"/>
      <c r="F178" s="110"/>
      <c r="G178" s="104">
        <f t="shared" si="17"/>
        <v>0</v>
      </c>
      <c r="H178" s="110"/>
      <c r="I178" s="85"/>
      <c r="J178" s="85"/>
      <c r="K178" s="85"/>
      <c r="L178" s="85"/>
      <c r="M178" s="85"/>
      <c r="N178" s="85"/>
      <c r="O178" s="85"/>
      <c r="P178" s="85"/>
      <c r="Q178" s="85"/>
      <c r="R178" s="80">
        <f t="shared" si="25"/>
        <v>0</v>
      </c>
      <c r="S178" s="81"/>
      <c r="T178" s="81">
        <f t="shared" si="26"/>
        <v>0</v>
      </c>
    </row>
    <row r="179" spans="1:20" s="1" customFormat="1" ht="13.5">
      <c r="A179" s="84"/>
      <c r="B179" s="84" t="s">
        <v>6</v>
      </c>
      <c r="C179" s="83"/>
      <c r="D179" s="91">
        <f>SUM(D135:D170)</f>
        <v>63.75</v>
      </c>
      <c r="E179" s="107"/>
      <c r="F179" s="129"/>
      <c r="G179" s="110">
        <f>SUM(G135:G178)</f>
        <v>333391.25</v>
      </c>
      <c r="H179" s="110">
        <f aca="true" t="shared" si="27" ref="H179:T179">SUM(H135:H178)</f>
        <v>22829.6</v>
      </c>
      <c r="I179" s="110">
        <f t="shared" si="27"/>
        <v>2614.63</v>
      </c>
      <c r="J179" s="187">
        <f t="shared" si="27"/>
        <v>37641.8</v>
      </c>
      <c r="K179" s="110">
        <f t="shared" si="27"/>
        <v>13674.58</v>
      </c>
      <c r="L179" s="110">
        <f t="shared" si="27"/>
        <v>79916.65587</v>
      </c>
      <c r="M179" s="110">
        <f t="shared" si="27"/>
        <v>29555.408000000003</v>
      </c>
      <c r="N179" s="110">
        <f t="shared" si="27"/>
        <v>315.3</v>
      </c>
      <c r="O179" s="110">
        <f t="shared" si="27"/>
        <v>2173.08</v>
      </c>
      <c r="P179" s="110">
        <f t="shared" si="27"/>
        <v>2522.4</v>
      </c>
      <c r="Q179" s="110">
        <f t="shared" si="27"/>
        <v>0</v>
      </c>
      <c r="R179" s="130">
        <f t="shared" si="27"/>
        <v>63886.05</v>
      </c>
      <c r="S179" s="110">
        <f>SUM(S135:S178)</f>
        <v>588520.7538700001</v>
      </c>
      <c r="T179" s="110">
        <f t="shared" si="27"/>
        <v>8594201.486241918</v>
      </c>
    </row>
    <row r="180" spans="1:20" s="1" customFormat="1" ht="14.25" customHeight="1">
      <c r="A180" s="68"/>
      <c r="B180" s="68"/>
      <c r="C180" s="165"/>
      <c r="D180" s="131"/>
      <c r="E180" s="132"/>
      <c r="F180" s="133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</row>
    <row r="181" spans="1:21" ht="14.25" customHeight="1">
      <c r="A181" s="6"/>
      <c r="B181" s="6"/>
      <c r="C181" s="166"/>
      <c r="D181" s="39"/>
      <c r="E181" s="39"/>
      <c r="F181" s="194" t="s">
        <v>169</v>
      </c>
      <c r="G181" s="112"/>
      <c r="H181" s="112"/>
      <c r="I181" s="112"/>
      <c r="J181" s="112"/>
      <c r="K181" s="112"/>
      <c r="L181" s="112"/>
      <c r="M181" s="113"/>
      <c r="N181" s="3"/>
      <c r="O181" s="3"/>
      <c r="P181" s="3" t="s">
        <v>170</v>
      </c>
      <c r="Q181" s="113"/>
      <c r="R181" s="6"/>
      <c r="S181" s="6"/>
      <c r="T181" s="6"/>
      <c r="U181" s="28"/>
    </row>
    <row r="182" spans="1:23" ht="15">
      <c r="A182" s="31"/>
      <c r="B182" s="93"/>
      <c r="C182" s="802"/>
      <c r="D182" s="802"/>
      <c r="E182" s="802"/>
      <c r="F182" s="802"/>
      <c r="G182" s="802"/>
      <c r="H182" s="802"/>
      <c r="I182" s="802"/>
      <c r="J182" s="802"/>
      <c r="K182" s="802"/>
      <c r="L182" s="94"/>
      <c r="M182" s="94"/>
      <c r="N182" s="94"/>
      <c r="O182" s="94"/>
      <c r="P182" s="94"/>
      <c r="Q182" s="94"/>
      <c r="R182" s="82"/>
      <c r="S182" s="82"/>
      <c r="T182" s="33"/>
      <c r="U182" s="33"/>
      <c r="V182" s="33"/>
      <c r="W182" s="33"/>
    </row>
    <row r="183" spans="1:23" ht="15">
      <c r="A183" s="31"/>
      <c r="B183" s="93"/>
      <c r="C183" s="802" t="s">
        <v>168</v>
      </c>
      <c r="D183" s="802"/>
      <c r="E183" s="802"/>
      <c r="F183" s="802"/>
      <c r="G183" s="802"/>
      <c r="H183" s="802"/>
      <c r="I183" s="802"/>
      <c r="J183" s="802"/>
      <c r="K183" s="802"/>
      <c r="L183" s="94"/>
      <c r="M183" s="94"/>
      <c r="N183" s="94"/>
      <c r="O183" s="94"/>
      <c r="P183" s="94" t="s">
        <v>167</v>
      </c>
      <c r="Q183" s="94"/>
      <c r="R183" s="82"/>
      <c r="S183" s="82"/>
      <c r="T183" s="33"/>
      <c r="U183" s="33"/>
      <c r="V183" s="33"/>
      <c r="W183" s="33"/>
    </row>
    <row r="184" spans="1:23" ht="20.25" customHeight="1">
      <c r="A184" s="154"/>
      <c r="B184" s="6"/>
      <c r="C184" s="166"/>
      <c r="D184" s="6"/>
      <c r="E184" s="6"/>
      <c r="F184" s="155"/>
      <c r="G184" s="155"/>
      <c r="H184" s="155"/>
      <c r="I184" s="6"/>
      <c r="J184" s="29"/>
      <c r="K184" s="6"/>
      <c r="L184" s="6"/>
      <c r="M184" s="6"/>
      <c r="N184" s="6"/>
      <c r="O184" s="6"/>
      <c r="P184" s="6"/>
      <c r="Q184" s="1" t="s">
        <v>102</v>
      </c>
      <c r="R184" s="156">
        <v>5</v>
      </c>
      <c r="S184" s="157"/>
      <c r="T184" s="3"/>
      <c r="U184" s="121"/>
      <c r="V184" s="1"/>
      <c r="W184" s="30"/>
    </row>
    <row r="185" spans="1:24" ht="33" customHeight="1">
      <c r="A185" s="154"/>
      <c r="B185" s="6"/>
      <c r="C185" s="166"/>
      <c r="D185" s="6"/>
      <c r="E185" s="6"/>
      <c r="F185" s="155"/>
      <c r="G185" s="155"/>
      <c r="H185" s="155"/>
      <c r="I185" s="6"/>
      <c r="J185" s="29"/>
      <c r="K185" s="6"/>
      <c r="L185" s="6"/>
      <c r="M185" s="6"/>
      <c r="N185" s="6"/>
      <c r="O185" s="6"/>
      <c r="P185" s="6"/>
      <c r="Q185" s="806" t="s">
        <v>103</v>
      </c>
      <c r="R185" s="806"/>
      <c r="S185" s="806"/>
      <c r="T185" s="806"/>
      <c r="U185" s="806"/>
      <c r="V185" s="806"/>
      <c r="W185" s="7"/>
      <c r="X185" s="7"/>
    </row>
    <row r="186" spans="1:23" ht="20.25" customHeight="1">
      <c r="A186" s="154"/>
      <c r="B186" s="6"/>
      <c r="C186" s="166"/>
      <c r="D186" s="6"/>
      <c r="E186" s="6"/>
      <c r="F186" s="155"/>
      <c r="G186" s="155"/>
      <c r="H186" s="155"/>
      <c r="I186" s="6"/>
      <c r="J186" s="29"/>
      <c r="K186" s="6"/>
      <c r="L186" s="6"/>
      <c r="M186" s="6"/>
      <c r="N186" s="6"/>
      <c r="O186" s="6"/>
      <c r="P186" s="6"/>
      <c r="Q186" s="807" t="s">
        <v>104</v>
      </c>
      <c r="R186" s="807"/>
      <c r="S186" s="807"/>
      <c r="T186" s="153" t="s">
        <v>0</v>
      </c>
      <c r="U186" s="159"/>
      <c r="V186" s="153"/>
      <c r="W186" s="8"/>
    </row>
    <row r="187" spans="1:24" ht="57.75" customHeight="1">
      <c r="A187" s="154"/>
      <c r="B187" s="6"/>
      <c r="C187" s="166"/>
      <c r="D187" s="6"/>
      <c r="E187" s="6"/>
      <c r="F187" s="155"/>
      <c r="G187" s="155"/>
      <c r="H187" s="155"/>
      <c r="I187" s="6"/>
      <c r="J187" s="29"/>
      <c r="K187" s="6"/>
      <c r="L187" s="6"/>
      <c r="M187" s="6"/>
      <c r="N187" s="6"/>
      <c r="O187" s="6"/>
      <c r="P187" s="6"/>
      <c r="Q187" s="808" t="s">
        <v>108</v>
      </c>
      <c r="R187" s="808"/>
      <c r="S187" s="808"/>
      <c r="T187" s="808"/>
      <c r="U187" s="808"/>
      <c r="V187" s="808"/>
      <c r="W187" s="8"/>
      <c r="X187" s="8"/>
    </row>
    <row r="188" spans="15:19" ht="18">
      <c r="O188" s="95"/>
      <c r="P188" s="95"/>
      <c r="Q188" s="95"/>
      <c r="R188" s="95"/>
      <c r="S188" s="96"/>
    </row>
    <row r="189" spans="19:22" ht="24" customHeight="1">
      <c r="S189" s="60"/>
      <c r="T189" s="61"/>
      <c r="V189" s="46"/>
    </row>
    <row r="190" spans="2:23" ht="17.25">
      <c r="B190" s="805" t="s">
        <v>164</v>
      </c>
      <c r="C190" s="805"/>
      <c r="D190" s="805"/>
      <c r="E190" s="805"/>
      <c r="F190" s="805"/>
      <c r="G190" s="805"/>
      <c r="H190" s="805"/>
      <c r="I190" s="805"/>
      <c r="J190" s="805"/>
      <c r="K190" s="805"/>
      <c r="L190" s="805"/>
      <c r="M190" s="805"/>
      <c r="N190" s="805"/>
      <c r="O190" s="47"/>
      <c r="P190" s="47"/>
      <c r="Q190" s="47"/>
      <c r="R190" s="47"/>
      <c r="S190" s="47"/>
      <c r="T190" s="47"/>
      <c r="U190" s="32"/>
      <c r="V190" s="32"/>
      <c r="W190" s="32"/>
    </row>
    <row r="191" spans="2:23" ht="36" customHeight="1">
      <c r="B191" s="880" t="s">
        <v>96</v>
      </c>
      <c r="C191" s="880"/>
      <c r="D191" s="880"/>
      <c r="E191" s="880"/>
      <c r="F191" s="880"/>
      <c r="G191" s="880"/>
      <c r="H191" s="880"/>
      <c r="I191" s="880"/>
      <c r="J191" s="880"/>
      <c r="K191" s="880"/>
      <c r="L191" s="880"/>
      <c r="M191" s="880"/>
      <c r="N191" s="135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2:13" ht="13.5">
      <c r="B192" s="908" t="s">
        <v>7</v>
      </c>
      <c r="C192" s="908"/>
      <c r="D192" s="908"/>
      <c r="E192" s="908"/>
      <c r="F192" s="908"/>
      <c r="G192" s="908"/>
      <c r="H192" s="908"/>
      <c r="I192" s="908"/>
      <c r="J192" s="908"/>
      <c r="K192" s="908"/>
      <c r="L192" s="908"/>
      <c r="M192" s="908"/>
    </row>
    <row r="193" spans="1:23" ht="13.5">
      <c r="A193" s="6"/>
      <c r="B193" s="3" t="s">
        <v>151</v>
      </c>
      <c r="C193" s="162"/>
      <c r="D193" s="3"/>
      <c r="E193" s="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3.5">
      <c r="A194" s="6"/>
      <c r="B194" s="3" t="s">
        <v>150</v>
      </c>
      <c r="C194" s="162"/>
      <c r="D194" s="3" t="s">
        <v>152</v>
      </c>
      <c r="E194" s="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1" customFormat="1" ht="12.75" customHeight="1">
      <c r="A195" s="855" t="s">
        <v>0</v>
      </c>
      <c r="B195" s="66" t="s">
        <v>1</v>
      </c>
      <c r="C195" s="890" t="s">
        <v>117</v>
      </c>
      <c r="D195" s="67" t="s">
        <v>2</v>
      </c>
      <c r="E195" s="867" t="s">
        <v>34</v>
      </c>
      <c r="F195" s="877" t="s">
        <v>35</v>
      </c>
      <c r="G195" s="845" t="s">
        <v>38</v>
      </c>
      <c r="H195" s="845" t="s">
        <v>39</v>
      </c>
      <c r="I195" s="852" t="s">
        <v>59</v>
      </c>
      <c r="J195" s="853"/>
      <c r="K195" s="853"/>
      <c r="L195" s="854"/>
      <c r="M195" s="881" t="s">
        <v>71</v>
      </c>
      <c r="N195" s="874"/>
      <c r="O195" s="874" t="s">
        <v>5</v>
      </c>
      <c r="P195" s="874"/>
      <c r="Q195" s="874"/>
      <c r="R195" s="874"/>
      <c r="S195" s="874"/>
      <c r="T195" s="875"/>
      <c r="U195" s="838" t="s">
        <v>100</v>
      </c>
      <c r="V195" s="826" t="s">
        <v>72</v>
      </c>
      <c r="W195" s="826" t="s">
        <v>143</v>
      </c>
    </row>
    <row r="196" spans="1:23" s="1" customFormat="1" ht="12.75" customHeight="1">
      <c r="A196" s="856"/>
      <c r="B196" s="70" t="s">
        <v>18</v>
      </c>
      <c r="C196" s="891"/>
      <c r="D196" s="70" t="s">
        <v>3</v>
      </c>
      <c r="E196" s="867"/>
      <c r="F196" s="878"/>
      <c r="G196" s="846"/>
      <c r="H196" s="846"/>
      <c r="I196" s="811" t="s">
        <v>89</v>
      </c>
      <c r="J196" s="811" t="s">
        <v>90</v>
      </c>
      <c r="K196" s="915" t="s">
        <v>74</v>
      </c>
      <c r="L196" s="831" t="s">
        <v>30</v>
      </c>
      <c r="M196" s="812" t="s">
        <v>91</v>
      </c>
      <c r="N196" s="863" t="s">
        <v>43</v>
      </c>
      <c r="O196" s="811" t="s">
        <v>20</v>
      </c>
      <c r="P196" s="819"/>
      <c r="Q196" s="819" t="s">
        <v>41</v>
      </c>
      <c r="R196" s="818"/>
      <c r="S196" s="876"/>
      <c r="T196" s="811" t="s">
        <v>75</v>
      </c>
      <c r="U196" s="839"/>
      <c r="V196" s="827"/>
      <c r="W196" s="827"/>
    </row>
    <row r="197" spans="1:23" s="1" customFormat="1" ht="13.5">
      <c r="A197" s="856"/>
      <c r="B197" s="70"/>
      <c r="C197" s="891"/>
      <c r="D197" s="70" t="s">
        <v>4</v>
      </c>
      <c r="E197" s="867"/>
      <c r="F197" s="878"/>
      <c r="G197" s="846"/>
      <c r="H197" s="846"/>
      <c r="I197" s="812"/>
      <c r="J197" s="812"/>
      <c r="K197" s="916"/>
      <c r="L197" s="832"/>
      <c r="M197" s="812"/>
      <c r="N197" s="901"/>
      <c r="O197" s="812"/>
      <c r="P197" s="820"/>
      <c r="Q197" s="820"/>
      <c r="R197" s="812"/>
      <c r="S197" s="842"/>
      <c r="T197" s="812"/>
      <c r="U197" s="839"/>
      <c r="V197" s="827"/>
      <c r="W197" s="827"/>
    </row>
    <row r="198" spans="1:23" s="1" customFormat="1" ht="13.5">
      <c r="A198" s="69"/>
      <c r="B198" s="70"/>
      <c r="C198" s="891"/>
      <c r="D198" s="70"/>
      <c r="E198" s="867"/>
      <c r="F198" s="878"/>
      <c r="G198" s="846"/>
      <c r="H198" s="846"/>
      <c r="I198" s="812"/>
      <c r="J198" s="812"/>
      <c r="K198" s="916"/>
      <c r="L198" s="832"/>
      <c r="M198" s="812"/>
      <c r="N198" s="901"/>
      <c r="O198" s="812"/>
      <c r="P198" s="820"/>
      <c r="Q198" s="820"/>
      <c r="R198" s="812"/>
      <c r="S198" s="842"/>
      <c r="T198" s="812"/>
      <c r="U198" s="839"/>
      <c r="V198" s="827"/>
      <c r="W198" s="827"/>
    </row>
    <row r="199" spans="1:54" s="1" customFormat="1" ht="71.25" customHeight="1">
      <c r="A199" s="71"/>
      <c r="B199" s="72"/>
      <c r="C199" s="892"/>
      <c r="D199" s="73"/>
      <c r="E199" s="867"/>
      <c r="F199" s="879"/>
      <c r="G199" s="847"/>
      <c r="H199" s="847"/>
      <c r="I199" s="813"/>
      <c r="J199" s="813"/>
      <c r="K199" s="917"/>
      <c r="L199" s="833"/>
      <c r="M199" s="813"/>
      <c r="N199" s="918"/>
      <c r="O199" s="813"/>
      <c r="P199" s="821"/>
      <c r="Q199" s="821"/>
      <c r="R199" s="813"/>
      <c r="S199" s="843"/>
      <c r="T199" s="813"/>
      <c r="U199" s="840"/>
      <c r="V199" s="828"/>
      <c r="W199" s="828"/>
      <c r="AD199" s="871"/>
      <c r="AE199" s="188"/>
      <c r="AF199" s="139"/>
      <c r="AG199" s="139"/>
      <c r="AH199" s="139"/>
      <c r="AI199" s="139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7"/>
      <c r="AY199" s="137"/>
      <c r="AZ199" s="137"/>
      <c r="BA199" s="137"/>
      <c r="BB199" s="137"/>
    </row>
    <row r="200" spans="1:54" s="1" customFormat="1" ht="18.75" customHeight="1">
      <c r="A200" s="102">
        <v>1</v>
      </c>
      <c r="B200" s="75" t="s">
        <v>37</v>
      </c>
      <c r="C200" s="74" t="s">
        <v>118</v>
      </c>
      <c r="D200" s="74">
        <v>1</v>
      </c>
      <c r="E200" s="104">
        <v>8071</v>
      </c>
      <c r="F200" s="104">
        <v>16</v>
      </c>
      <c r="G200" s="105">
        <f>E200*D200</f>
        <v>8071</v>
      </c>
      <c r="H200" s="105">
        <f>G200*10%</f>
        <v>807.1</v>
      </c>
      <c r="I200" s="138"/>
      <c r="J200" s="78"/>
      <c r="K200" s="78"/>
      <c r="L200" s="78"/>
      <c r="M200" s="78">
        <f>(G200+H200+I200+K200+L200)*30%</f>
        <v>2663.43</v>
      </c>
      <c r="N200" s="78">
        <f>(G200+H200+I200+J200+K200+L200)*10%</f>
        <v>887.8100000000001</v>
      </c>
      <c r="O200" s="78"/>
      <c r="P200" s="78"/>
      <c r="Q200" s="78"/>
      <c r="R200" s="78"/>
      <c r="S200" s="78"/>
      <c r="T200" s="79"/>
      <c r="U200" s="80"/>
      <c r="V200" s="81">
        <f>G200+H200+I200+J200+K200+L200+M200+N200+O200+Q200+T200+U200</f>
        <v>12429.34</v>
      </c>
      <c r="W200" s="81">
        <f>(V200)*12*1.168+G200+G200*5%</f>
        <v>182684.17944</v>
      </c>
      <c r="X200" s="116"/>
      <c r="AD200" s="871"/>
      <c r="AE200" s="189"/>
      <c r="AF200" s="139"/>
      <c r="AG200" s="139"/>
      <c r="AH200" s="139"/>
      <c r="AI200" s="139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90"/>
      <c r="AU200" s="136"/>
      <c r="AV200" s="136"/>
      <c r="AW200" s="136"/>
      <c r="AX200" s="137"/>
      <c r="AY200" s="137"/>
      <c r="AZ200" s="137"/>
      <c r="BA200" s="137"/>
      <c r="BB200" s="137"/>
    </row>
    <row r="201" spans="1:54" s="1" customFormat="1" ht="16.5" customHeight="1">
      <c r="A201" s="106">
        <v>2</v>
      </c>
      <c r="B201" s="84" t="s">
        <v>11</v>
      </c>
      <c r="C201" s="83" t="s">
        <v>119</v>
      </c>
      <c r="D201" s="83">
        <v>1</v>
      </c>
      <c r="E201" s="104">
        <v>6567</v>
      </c>
      <c r="F201" s="104">
        <v>13</v>
      </c>
      <c r="G201" s="105">
        <f aca="true" t="shared" si="28" ref="G201:G223">E201*D201</f>
        <v>6567</v>
      </c>
      <c r="H201" s="105">
        <f aca="true" t="shared" si="29" ref="H201:H210">G201*10%</f>
        <v>656.7</v>
      </c>
      <c r="I201" s="78"/>
      <c r="J201" s="85"/>
      <c r="K201" s="85"/>
      <c r="L201" s="85"/>
      <c r="M201" s="78">
        <f>(G201+H201+I201+K201+L201)*20%</f>
        <v>1444.74</v>
      </c>
      <c r="N201" s="78">
        <f aca="true" t="shared" si="30" ref="N201:N210">(G201+H201+I201+J201+K201+L201)*10%</f>
        <v>722.37</v>
      </c>
      <c r="O201" s="85"/>
      <c r="P201" s="85"/>
      <c r="Q201" s="78"/>
      <c r="R201" s="85"/>
      <c r="S201" s="85"/>
      <c r="T201" s="79"/>
      <c r="U201" s="80"/>
      <c r="V201" s="81">
        <f aca="true" t="shared" si="31" ref="V201:V223">G201+H201+I201+J201+K201+L201+M201+N201+O201+Q201+T201+U201</f>
        <v>9390.810000000001</v>
      </c>
      <c r="W201" s="81">
        <f aca="true" t="shared" si="32" ref="W201:W210">(V201)*12*1.168+G201+G201*5%</f>
        <v>138516.94296000001</v>
      </c>
      <c r="AD201" s="871"/>
      <c r="AE201" s="189"/>
      <c r="AF201" s="139"/>
      <c r="AG201" s="139"/>
      <c r="AH201" s="139"/>
      <c r="AI201" s="139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7"/>
      <c r="AY201" s="137"/>
      <c r="AZ201" s="137"/>
      <c r="BA201" s="137"/>
      <c r="BB201" s="137"/>
    </row>
    <row r="202" spans="1:54" s="1" customFormat="1" ht="14.25" customHeight="1">
      <c r="A202" s="857">
        <v>3</v>
      </c>
      <c r="B202" s="859" t="s">
        <v>27</v>
      </c>
      <c r="C202" s="873" t="s">
        <v>120</v>
      </c>
      <c r="D202" s="83">
        <v>0.75</v>
      </c>
      <c r="E202" s="104">
        <v>5005</v>
      </c>
      <c r="F202" s="104">
        <v>9</v>
      </c>
      <c r="G202" s="105">
        <f t="shared" si="28"/>
        <v>3753.75</v>
      </c>
      <c r="H202" s="105">
        <f t="shared" si="29"/>
        <v>375.375</v>
      </c>
      <c r="I202" s="78"/>
      <c r="J202" s="85"/>
      <c r="K202" s="85"/>
      <c r="L202" s="85"/>
      <c r="M202" s="78">
        <f>(G202+H202+I202+K202+L202)*10%</f>
        <v>412.9125</v>
      </c>
      <c r="N202" s="78">
        <f t="shared" si="30"/>
        <v>412.9125</v>
      </c>
      <c r="O202" s="85"/>
      <c r="P202" s="85"/>
      <c r="Q202" s="78"/>
      <c r="R202" s="85"/>
      <c r="S202" s="85"/>
      <c r="T202" s="79"/>
      <c r="U202" s="80"/>
      <c r="V202" s="81">
        <f t="shared" si="31"/>
        <v>4954.950000000001</v>
      </c>
      <c r="W202" s="81">
        <f t="shared" si="32"/>
        <v>73390.01670000001</v>
      </c>
      <c r="AD202" s="871"/>
      <c r="AE202" s="189"/>
      <c r="AF202" s="139"/>
      <c r="AG202" s="139"/>
      <c r="AH202" s="139"/>
      <c r="AI202" s="139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7"/>
      <c r="AY202" s="137"/>
      <c r="AZ202" s="137"/>
      <c r="BA202" s="137"/>
      <c r="BB202" s="137"/>
    </row>
    <row r="203" spans="1:54" s="1" customFormat="1" ht="19.5" customHeight="1">
      <c r="A203" s="858"/>
      <c r="B203" s="860"/>
      <c r="C203" s="825"/>
      <c r="D203" s="83">
        <v>1</v>
      </c>
      <c r="E203" s="104">
        <v>6133</v>
      </c>
      <c r="F203" s="104">
        <v>12</v>
      </c>
      <c r="G203" s="105">
        <f t="shared" si="28"/>
        <v>6133</v>
      </c>
      <c r="H203" s="105">
        <f t="shared" si="29"/>
        <v>613.3000000000001</v>
      </c>
      <c r="I203" s="78"/>
      <c r="J203" s="85"/>
      <c r="K203" s="85"/>
      <c r="L203" s="85"/>
      <c r="M203" s="78">
        <f>(G203+H203+I203+K203+L203)*30%</f>
        <v>2023.8899999999999</v>
      </c>
      <c r="N203" s="78">
        <f t="shared" si="30"/>
        <v>674.6300000000001</v>
      </c>
      <c r="O203" s="85"/>
      <c r="P203" s="85"/>
      <c r="Q203" s="78"/>
      <c r="R203" s="85"/>
      <c r="S203" s="85"/>
      <c r="T203" s="79"/>
      <c r="U203" s="80"/>
      <c r="V203" s="81">
        <f t="shared" si="31"/>
        <v>9444.82</v>
      </c>
      <c r="W203" s="81">
        <f t="shared" si="32"/>
        <v>138818.24711999999</v>
      </c>
      <c r="AD203" s="871"/>
      <c r="AE203" s="188"/>
      <c r="AF203" s="139"/>
      <c r="AG203" s="139"/>
      <c r="AH203" s="139"/>
      <c r="AI203" s="139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7"/>
      <c r="AY203" s="137"/>
      <c r="AZ203" s="137"/>
      <c r="BA203" s="137"/>
      <c r="BB203" s="137"/>
    </row>
    <row r="204" spans="1:54" s="1" customFormat="1" ht="23.25" customHeight="1">
      <c r="A204" s="102">
        <v>4</v>
      </c>
      <c r="B204" s="86" t="s">
        <v>135</v>
      </c>
      <c r="C204" s="152">
        <v>3475</v>
      </c>
      <c r="D204" s="83">
        <v>1</v>
      </c>
      <c r="E204" s="104">
        <v>5005</v>
      </c>
      <c r="F204" s="104">
        <v>9</v>
      </c>
      <c r="G204" s="105">
        <f t="shared" si="28"/>
        <v>5005</v>
      </c>
      <c r="H204" s="105">
        <f t="shared" si="29"/>
        <v>500.5</v>
      </c>
      <c r="I204" s="78"/>
      <c r="J204" s="85"/>
      <c r="K204" s="85"/>
      <c r="L204" s="85"/>
      <c r="M204" s="78">
        <f>(G204+H204+I204+K204+L204)*30%</f>
        <v>1651.6499999999999</v>
      </c>
      <c r="N204" s="78">
        <f t="shared" si="30"/>
        <v>550.5500000000001</v>
      </c>
      <c r="O204" s="85"/>
      <c r="P204" s="85"/>
      <c r="Q204" s="78"/>
      <c r="R204" s="85"/>
      <c r="S204" s="85"/>
      <c r="T204" s="79"/>
      <c r="U204" s="80"/>
      <c r="V204" s="81">
        <f t="shared" si="31"/>
        <v>7707.7</v>
      </c>
      <c r="W204" s="81">
        <f t="shared" si="32"/>
        <v>113286.37319999999</v>
      </c>
      <c r="AD204" s="871"/>
      <c r="AE204" s="189"/>
      <c r="AF204" s="139"/>
      <c r="AG204" s="191"/>
      <c r="AH204" s="139"/>
      <c r="AI204" s="139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90"/>
      <c r="AU204" s="136"/>
      <c r="AV204" s="136"/>
      <c r="AW204" s="136"/>
      <c r="AX204" s="137"/>
      <c r="AY204" s="137"/>
      <c r="AZ204" s="137"/>
      <c r="BA204" s="137"/>
      <c r="BB204" s="137"/>
    </row>
    <row r="205" spans="1:54" s="1" customFormat="1" ht="18" customHeight="1">
      <c r="A205" s="106">
        <v>5</v>
      </c>
      <c r="B205" s="84" t="s">
        <v>13</v>
      </c>
      <c r="C205" s="83" t="s">
        <v>121</v>
      </c>
      <c r="D205" s="83">
        <v>0.75</v>
      </c>
      <c r="E205" s="104">
        <v>6567</v>
      </c>
      <c r="F205" s="104">
        <v>13</v>
      </c>
      <c r="G205" s="105">
        <f t="shared" si="28"/>
        <v>4925.25</v>
      </c>
      <c r="H205" s="105">
        <f t="shared" si="29"/>
        <v>492.52500000000003</v>
      </c>
      <c r="I205" s="85"/>
      <c r="J205" s="85"/>
      <c r="K205" s="85"/>
      <c r="L205" s="85"/>
      <c r="M205" s="78">
        <f>(G205+H205+I205+K205+L205)*30%</f>
        <v>1625.3324999999998</v>
      </c>
      <c r="N205" s="78">
        <f t="shared" si="30"/>
        <v>541.7775</v>
      </c>
      <c r="O205" s="85"/>
      <c r="P205" s="85"/>
      <c r="Q205" s="78"/>
      <c r="R205" s="85"/>
      <c r="S205" s="85"/>
      <c r="T205" s="79"/>
      <c r="U205" s="80"/>
      <c r="V205" s="81">
        <f>G205+H205+I205+J205+K205+L205+M205+N205+O205+Q205+T205+U205</f>
        <v>7584.884999999999</v>
      </c>
      <c r="W205" s="81">
        <f t="shared" si="32"/>
        <v>111481.26065999999</v>
      </c>
      <c r="AD205" s="871"/>
      <c r="AE205" s="188"/>
      <c r="AF205" s="139"/>
      <c r="AG205" s="139"/>
      <c r="AH205" s="139"/>
      <c r="AI205" s="139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7"/>
      <c r="AY205" s="137"/>
      <c r="AZ205" s="137"/>
      <c r="BA205" s="137"/>
      <c r="BB205" s="137"/>
    </row>
    <row r="206" spans="1:54" s="1" customFormat="1" ht="27.75" customHeight="1">
      <c r="A206" s="106">
        <v>6</v>
      </c>
      <c r="B206" s="180" t="s">
        <v>133</v>
      </c>
      <c r="C206" s="83">
        <v>3231</v>
      </c>
      <c r="D206" s="83">
        <v>1</v>
      </c>
      <c r="E206" s="104">
        <v>4195</v>
      </c>
      <c r="F206" s="104">
        <v>6</v>
      </c>
      <c r="G206" s="105">
        <f t="shared" si="28"/>
        <v>4195</v>
      </c>
      <c r="H206" s="105"/>
      <c r="I206" s="78"/>
      <c r="J206" s="85"/>
      <c r="K206" s="85"/>
      <c r="L206" s="85">
        <f>E206*10%*D206</f>
        <v>419.5</v>
      </c>
      <c r="M206" s="78">
        <f>(G206+H206+I206+K206+L206)*30%</f>
        <v>1384.35</v>
      </c>
      <c r="N206" s="78"/>
      <c r="O206" s="85"/>
      <c r="P206" s="85"/>
      <c r="Q206" s="78"/>
      <c r="R206" s="85"/>
      <c r="S206" s="85"/>
      <c r="T206" s="78"/>
      <c r="U206" s="80">
        <f>6700*D206-G206-H206-I206-J206-K206-L206-M206-N206</f>
        <v>701.1500000000001</v>
      </c>
      <c r="V206" s="81">
        <f>G206+H206+I206+J206+K206+L206+M206+N206+O206+Q206+T206+U206</f>
        <v>6700</v>
      </c>
      <c r="W206" s="81">
        <f t="shared" si="32"/>
        <v>98311.95</v>
      </c>
      <c r="AD206" s="871"/>
      <c r="AE206" s="188"/>
      <c r="AF206" s="139"/>
      <c r="AG206" s="139"/>
      <c r="AH206" s="139"/>
      <c r="AI206" s="139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7"/>
      <c r="AY206" s="137"/>
      <c r="AZ206" s="137"/>
      <c r="BA206" s="137"/>
      <c r="BB206" s="137"/>
    </row>
    <row r="207" spans="1:23" s="1" customFormat="1" ht="48" customHeight="1">
      <c r="A207" s="106">
        <v>7</v>
      </c>
      <c r="B207" s="86" t="s">
        <v>162</v>
      </c>
      <c r="C207" s="83">
        <v>2332</v>
      </c>
      <c r="D207" s="83">
        <v>1</v>
      </c>
      <c r="E207" s="104">
        <v>7001</v>
      </c>
      <c r="F207" s="104">
        <v>14</v>
      </c>
      <c r="G207" s="105">
        <f t="shared" si="28"/>
        <v>7001</v>
      </c>
      <c r="H207" s="105">
        <f t="shared" si="29"/>
        <v>700.1</v>
      </c>
      <c r="I207" s="78"/>
      <c r="J207" s="85"/>
      <c r="K207" s="85"/>
      <c r="L207" s="85"/>
      <c r="M207" s="78">
        <v>2310.33</v>
      </c>
      <c r="N207" s="78">
        <v>770.11</v>
      </c>
      <c r="O207" s="85"/>
      <c r="P207" s="85"/>
      <c r="Q207" s="85"/>
      <c r="R207" s="85"/>
      <c r="S207" s="85"/>
      <c r="T207" s="78"/>
      <c r="U207" s="80"/>
      <c r="V207" s="81">
        <f t="shared" si="31"/>
        <v>10781.54</v>
      </c>
      <c r="W207" s="81">
        <f t="shared" si="32"/>
        <v>158465.11463999999</v>
      </c>
    </row>
    <row r="208" spans="1:23" s="1" customFormat="1" ht="45" customHeight="1">
      <c r="A208" s="106">
        <v>8</v>
      </c>
      <c r="B208" s="86" t="s">
        <v>159</v>
      </c>
      <c r="C208" s="152">
        <v>2332</v>
      </c>
      <c r="D208" s="83">
        <v>2</v>
      </c>
      <c r="E208" s="104">
        <v>6567</v>
      </c>
      <c r="F208" s="115" t="s">
        <v>45</v>
      </c>
      <c r="G208" s="105">
        <f t="shared" si="28"/>
        <v>13134</v>
      </c>
      <c r="H208" s="105">
        <f t="shared" si="29"/>
        <v>1313.4</v>
      </c>
      <c r="I208" s="78"/>
      <c r="J208" s="85"/>
      <c r="K208" s="85"/>
      <c r="L208" s="78"/>
      <c r="M208" s="78">
        <f>(1333.42+2000.13)*1.0835</f>
        <v>3611.901425</v>
      </c>
      <c r="N208" s="78">
        <f t="shared" si="30"/>
        <v>1444.74</v>
      </c>
      <c r="O208" s="85"/>
      <c r="P208" s="85"/>
      <c r="Q208" s="85"/>
      <c r="R208" s="85"/>
      <c r="S208" s="85"/>
      <c r="T208" s="78"/>
      <c r="U208" s="80"/>
      <c r="V208" s="81">
        <f t="shared" si="31"/>
        <v>19504.041425</v>
      </c>
      <c r="W208" s="81">
        <f t="shared" si="32"/>
        <v>287159.3446128</v>
      </c>
    </row>
    <row r="209" spans="1:23" s="1" customFormat="1" ht="31.5" customHeight="1">
      <c r="A209" s="106">
        <v>9</v>
      </c>
      <c r="B209" s="86" t="s">
        <v>158</v>
      </c>
      <c r="C209" s="152">
        <v>2332</v>
      </c>
      <c r="D209" s="83">
        <v>10.75</v>
      </c>
      <c r="E209" s="104">
        <v>5699</v>
      </c>
      <c r="F209" s="104">
        <v>11</v>
      </c>
      <c r="G209" s="105">
        <f t="shared" si="28"/>
        <v>61264.25</v>
      </c>
      <c r="H209" s="105">
        <f t="shared" si="29"/>
        <v>6126.425</v>
      </c>
      <c r="I209" s="78"/>
      <c r="J209" s="85"/>
      <c r="K209" s="85"/>
      <c r="L209" s="85">
        <f>854.85+854.85+854.85</f>
        <v>2564.55</v>
      </c>
      <c r="M209" s="78">
        <v>13777.35</v>
      </c>
      <c r="N209" s="78">
        <v>6995.54</v>
      </c>
      <c r="O209" s="85"/>
      <c r="P209" s="85"/>
      <c r="Q209" s="85"/>
      <c r="R209" s="85"/>
      <c r="S209" s="85"/>
      <c r="T209" s="78"/>
      <c r="U209" s="80"/>
      <c r="V209" s="81">
        <f t="shared" si="31"/>
        <v>90728.115</v>
      </c>
      <c r="W209" s="81">
        <f t="shared" si="32"/>
        <v>1335972.7223399999</v>
      </c>
    </row>
    <row r="210" spans="1:23" s="1" customFormat="1" ht="34.5" customHeight="1">
      <c r="A210" s="106">
        <v>10</v>
      </c>
      <c r="B210" s="86" t="s">
        <v>158</v>
      </c>
      <c r="C210" s="152">
        <v>2332</v>
      </c>
      <c r="D210" s="83">
        <v>1</v>
      </c>
      <c r="E210" s="104">
        <v>5265</v>
      </c>
      <c r="F210" s="104">
        <v>10</v>
      </c>
      <c r="G210" s="105">
        <f t="shared" si="28"/>
        <v>5265</v>
      </c>
      <c r="H210" s="105">
        <f t="shared" si="29"/>
        <v>526.5</v>
      </c>
      <c r="I210" s="78"/>
      <c r="J210" s="85"/>
      <c r="K210" s="85"/>
      <c r="L210" s="85"/>
      <c r="M210" s="78">
        <v>579.15</v>
      </c>
      <c r="N210" s="78">
        <f t="shared" si="30"/>
        <v>579.15</v>
      </c>
      <c r="O210" s="85"/>
      <c r="P210" s="85"/>
      <c r="Q210" s="85"/>
      <c r="R210" s="85"/>
      <c r="S210" s="85"/>
      <c r="T210" s="78"/>
      <c r="U210" s="80"/>
      <c r="V210" s="81">
        <f t="shared" si="31"/>
        <v>6949.799999999999</v>
      </c>
      <c r="W210" s="81">
        <f t="shared" si="32"/>
        <v>102936.64679999999</v>
      </c>
    </row>
    <row r="211" spans="1:23" s="1" customFormat="1" ht="33" customHeight="1">
      <c r="A211" s="106">
        <v>11</v>
      </c>
      <c r="B211" s="86" t="s">
        <v>25</v>
      </c>
      <c r="C211" s="152">
        <v>5131</v>
      </c>
      <c r="D211" s="83">
        <v>6.25</v>
      </c>
      <c r="E211" s="104">
        <v>4195</v>
      </c>
      <c r="F211" s="104">
        <v>6</v>
      </c>
      <c r="G211" s="105">
        <f t="shared" si="28"/>
        <v>26218.75</v>
      </c>
      <c r="H211" s="10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0">
        <f>6700*D211-G211-H211-I211-J211-K211-L211-M211-N211</f>
        <v>15656.25</v>
      </c>
      <c r="V211" s="81">
        <f t="shared" si="31"/>
        <v>41875</v>
      </c>
      <c r="W211" s="81">
        <f>(V211)*12*1.168+G211</f>
        <v>613138.75</v>
      </c>
    </row>
    <row r="212" spans="1:23" s="1" customFormat="1" ht="35.25" customHeight="1">
      <c r="A212" s="106">
        <v>12</v>
      </c>
      <c r="B212" s="86" t="s">
        <v>17</v>
      </c>
      <c r="C212" s="152">
        <v>5131</v>
      </c>
      <c r="D212" s="83">
        <v>3</v>
      </c>
      <c r="E212" s="104">
        <v>4195</v>
      </c>
      <c r="F212" s="104">
        <v>6</v>
      </c>
      <c r="G212" s="105">
        <f t="shared" si="28"/>
        <v>12585</v>
      </c>
      <c r="H212" s="10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0">
        <f aca="true" t="shared" si="33" ref="U212:U223">6700*D212-G212-H212-I212-J212-K212-L212-M212-N212</f>
        <v>7515</v>
      </c>
      <c r="V212" s="81">
        <f t="shared" si="31"/>
        <v>20100</v>
      </c>
      <c r="W212" s="81">
        <f aca="true" t="shared" si="34" ref="W212:W223">(V212)*12*1.168+G212</f>
        <v>294306.6</v>
      </c>
    </row>
    <row r="213" spans="1:23" s="1" customFormat="1" ht="18" customHeight="1">
      <c r="A213" s="106">
        <v>13</v>
      </c>
      <c r="B213" s="84" t="s">
        <v>122</v>
      </c>
      <c r="C213" s="83">
        <v>1239</v>
      </c>
      <c r="D213" s="83">
        <v>1</v>
      </c>
      <c r="E213" s="104">
        <v>4745</v>
      </c>
      <c r="F213" s="104">
        <v>8</v>
      </c>
      <c r="G213" s="105">
        <f t="shared" si="28"/>
        <v>4745</v>
      </c>
      <c r="H213" s="105"/>
      <c r="I213" s="85"/>
      <c r="J213" s="140">
        <f>G213*50%</f>
        <v>2372.5</v>
      </c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0"/>
      <c r="V213" s="81">
        <f t="shared" si="31"/>
        <v>7117.5</v>
      </c>
      <c r="W213" s="81">
        <f t="shared" si="34"/>
        <v>104503.87999999999</v>
      </c>
    </row>
    <row r="214" spans="1:23" s="1" customFormat="1" ht="13.5" hidden="1">
      <c r="A214" s="106"/>
      <c r="B214" s="84"/>
      <c r="C214" s="83"/>
      <c r="D214" s="83"/>
      <c r="E214" s="104"/>
      <c r="F214" s="104"/>
      <c r="G214" s="105">
        <f t="shared" si="28"/>
        <v>0</v>
      </c>
      <c r="H214" s="105"/>
      <c r="I214" s="85"/>
      <c r="J214" s="140"/>
      <c r="K214" s="85"/>
      <c r="L214" s="85"/>
      <c r="M214" s="85"/>
      <c r="N214" s="85">
        <f>E214*12%</f>
        <v>0</v>
      </c>
      <c r="O214" s="85"/>
      <c r="P214" s="85"/>
      <c r="Q214" s="85"/>
      <c r="R214" s="85"/>
      <c r="S214" s="85"/>
      <c r="T214" s="85"/>
      <c r="U214" s="80">
        <f t="shared" si="33"/>
        <v>0</v>
      </c>
      <c r="V214" s="81">
        <f t="shared" si="31"/>
        <v>0</v>
      </c>
      <c r="W214" s="81">
        <f t="shared" si="34"/>
        <v>0</v>
      </c>
    </row>
    <row r="215" spans="1:29" s="1" customFormat="1" ht="19.5" customHeight="1">
      <c r="A215" s="106">
        <v>14</v>
      </c>
      <c r="B215" s="84" t="s">
        <v>8</v>
      </c>
      <c r="C215" s="83">
        <v>5122</v>
      </c>
      <c r="D215" s="83">
        <v>3</v>
      </c>
      <c r="E215" s="104">
        <v>3934</v>
      </c>
      <c r="F215" s="114" t="s">
        <v>92</v>
      </c>
      <c r="G215" s="105">
        <f t="shared" si="28"/>
        <v>11802</v>
      </c>
      <c r="H215" s="141"/>
      <c r="I215" s="85"/>
      <c r="J215" s="140"/>
      <c r="K215" s="85"/>
      <c r="L215" s="85"/>
      <c r="M215" s="85"/>
      <c r="N215" s="85"/>
      <c r="O215" s="85"/>
      <c r="P215" s="85"/>
      <c r="Q215" s="85">
        <f>G215*12%</f>
        <v>1416.24</v>
      </c>
      <c r="R215" s="85"/>
      <c r="S215" s="85"/>
      <c r="T215" s="85"/>
      <c r="U215" s="80">
        <f t="shared" si="33"/>
        <v>8298</v>
      </c>
      <c r="V215" s="81">
        <f t="shared" si="31"/>
        <v>21516.239999999998</v>
      </c>
      <c r="W215" s="81">
        <f t="shared" si="34"/>
        <v>313373.61983999994</v>
      </c>
      <c r="AC215" s="116"/>
    </row>
    <row r="216" spans="1:23" s="1" customFormat="1" ht="13.5">
      <c r="A216" s="106">
        <v>15</v>
      </c>
      <c r="B216" s="178" t="s">
        <v>128</v>
      </c>
      <c r="C216" s="163">
        <v>9132</v>
      </c>
      <c r="D216" s="83">
        <v>1.5</v>
      </c>
      <c r="E216" s="104">
        <v>2893</v>
      </c>
      <c r="F216" s="104">
        <v>1</v>
      </c>
      <c r="G216" s="105">
        <f t="shared" si="28"/>
        <v>4339.5</v>
      </c>
      <c r="H216" s="105"/>
      <c r="I216" s="85"/>
      <c r="J216" s="140"/>
      <c r="K216" s="85"/>
      <c r="L216" s="85"/>
      <c r="M216" s="85"/>
      <c r="N216" s="85"/>
      <c r="O216" s="85"/>
      <c r="P216" s="85"/>
      <c r="Q216" s="85">
        <f>G216*12%</f>
        <v>520.74</v>
      </c>
      <c r="R216" s="85"/>
      <c r="S216" s="85"/>
      <c r="T216" s="85"/>
      <c r="U216" s="80">
        <f t="shared" si="33"/>
        <v>5710.5</v>
      </c>
      <c r="V216" s="81">
        <f t="shared" si="31"/>
        <v>10570.74</v>
      </c>
      <c r="W216" s="81">
        <f t="shared" si="34"/>
        <v>152498.99184</v>
      </c>
    </row>
    <row r="217" spans="1:23" s="1" customFormat="1" ht="13.5" hidden="1">
      <c r="A217" s="106"/>
      <c r="B217" s="84"/>
      <c r="C217" s="83"/>
      <c r="D217" s="83"/>
      <c r="E217" s="104"/>
      <c r="F217" s="104"/>
      <c r="G217" s="105">
        <f t="shared" si="28"/>
        <v>0</v>
      </c>
      <c r="H217" s="105"/>
      <c r="I217" s="85"/>
      <c r="J217" s="140"/>
      <c r="K217" s="85"/>
      <c r="L217" s="85"/>
      <c r="M217" s="85"/>
      <c r="N217" s="85"/>
      <c r="O217" s="85"/>
      <c r="P217" s="85"/>
      <c r="Q217" s="85">
        <f>G217*12%</f>
        <v>0</v>
      </c>
      <c r="R217" s="85"/>
      <c r="S217" s="85"/>
      <c r="T217" s="85"/>
      <c r="U217" s="80">
        <f t="shared" si="33"/>
        <v>0</v>
      </c>
      <c r="V217" s="81">
        <f t="shared" si="31"/>
        <v>0</v>
      </c>
      <c r="W217" s="81">
        <f t="shared" si="34"/>
        <v>0</v>
      </c>
    </row>
    <row r="218" spans="1:23" s="1" customFormat="1" ht="33.75" customHeight="1">
      <c r="A218" s="106">
        <v>16</v>
      </c>
      <c r="B218" s="86" t="s">
        <v>24</v>
      </c>
      <c r="C218" s="152">
        <v>8264</v>
      </c>
      <c r="D218" s="83">
        <v>1</v>
      </c>
      <c r="E218" s="104">
        <v>3153</v>
      </c>
      <c r="F218" s="104">
        <v>2</v>
      </c>
      <c r="G218" s="105">
        <f t="shared" si="28"/>
        <v>3153</v>
      </c>
      <c r="H218" s="105"/>
      <c r="I218" s="85"/>
      <c r="J218" s="140"/>
      <c r="K218" s="85"/>
      <c r="L218" s="85"/>
      <c r="M218" s="85"/>
      <c r="N218" s="85"/>
      <c r="O218" s="85"/>
      <c r="P218" s="85"/>
      <c r="Q218" s="85">
        <f>G218*12%</f>
        <v>378.36</v>
      </c>
      <c r="R218" s="85"/>
      <c r="S218" s="85"/>
      <c r="T218" s="85"/>
      <c r="U218" s="80">
        <f t="shared" si="33"/>
        <v>3547</v>
      </c>
      <c r="V218" s="81">
        <f t="shared" si="31"/>
        <v>7078.360000000001</v>
      </c>
      <c r="W218" s="81">
        <f t="shared" si="34"/>
        <v>102363.29376</v>
      </c>
    </row>
    <row r="219" spans="1:23" s="1" customFormat="1" ht="50.25" customHeight="1">
      <c r="A219" s="106">
        <v>17</v>
      </c>
      <c r="B219" s="86" t="s">
        <v>142</v>
      </c>
      <c r="C219" s="152">
        <v>7129</v>
      </c>
      <c r="D219" s="83">
        <v>1</v>
      </c>
      <c r="E219" s="104">
        <v>3674</v>
      </c>
      <c r="F219" s="104">
        <v>4</v>
      </c>
      <c r="G219" s="105">
        <f t="shared" si="28"/>
        <v>3674</v>
      </c>
      <c r="H219" s="105"/>
      <c r="I219" s="85"/>
      <c r="J219" s="140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0">
        <f t="shared" si="33"/>
        <v>3026</v>
      </c>
      <c r="V219" s="81">
        <f t="shared" si="31"/>
        <v>6700</v>
      </c>
      <c r="W219" s="81">
        <f t="shared" si="34"/>
        <v>97581.2</v>
      </c>
    </row>
    <row r="220" spans="1:23" s="1" customFormat="1" ht="18.75" customHeight="1">
      <c r="A220" s="106">
        <v>18</v>
      </c>
      <c r="B220" s="84" t="s">
        <v>10</v>
      </c>
      <c r="C220" s="83">
        <v>9152</v>
      </c>
      <c r="D220" s="83">
        <v>2</v>
      </c>
      <c r="E220" s="104">
        <v>3153</v>
      </c>
      <c r="F220" s="104">
        <v>2</v>
      </c>
      <c r="G220" s="105">
        <f t="shared" si="28"/>
        <v>6306</v>
      </c>
      <c r="H220" s="105"/>
      <c r="I220" s="85"/>
      <c r="J220" s="140"/>
      <c r="K220" s="85"/>
      <c r="L220" s="85"/>
      <c r="M220" s="85"/>
      <c r="N220" s="85"/>
      <c r="O220" s="85"/>
      <c r="P220" s="85"/>
      <c r="Q220" s="85"/>
      <c r="R220" s="85"/>
      <c r="S220" s="85"/>
      <c r="T220" s="140">
        <f>G220*40%</f>
        <v>2522.4</v>
      </c>
      <c r="U220" s="80">
        <f t="shared" si="33"/>
        <v>7094</v>
      </c>
      <c r="V220" s="81">
        <f t="shared" si="31"/>
        <v>15922.4</v>
      </c>
      <c r="W220" s="81">
        <f t="shared" si="34"/>
        <v>229474.35839999997</v>
      </c>
    </row>
    <row r="221" spans="1:23" s="1" customFormat="1" ht="19.5" customHeight="1">
      <c r="A221" s="106">
        <v>19</v>
      </c>
      <c r="B221" s="84" t="s">
        <v>9</v>
      </c>
      <c r="C221" s="83">
        <v>9162</v>
      </c>
      <c r="D221" s="83">
        <v>1</v>
      </c>
      <c r="E221" s="104">
        <v>2893</v>
      </c>
      <c r="F221" s="104">
        <v>1</v>
      </c>
      <c r="G221" s="105">
        <f t="shared" si="28"/>
        <v>2893</v>
      </c>
      <c r="H221" s="105"/>
      <c r="I221" s="85"/>
      <c r="J221" s="140"/>
      <c r="K221" s="85"/>
      <c r="L221" s="85"/>
      <c r="M221" s="85"/>
      <c r="N221" s="85"/>
      <c r="O221" s="85"/>
      <c r="P221" s="85"/>
      <c r="Q221" s="85"/>
      <c r="R221" s="85"/>
      <c r="S221" s="85"/>
      <c r="T221" s="140"/>
      <c r="U221" s="80">
        <f t="shared" si="33"/>
        <v>3807</v>
      </c>
      <c r="V221" s="81">
        <f t="shared" si="31"/>
        <v>6700</v>
      </c>
      <c r="W221" s="81">
        <f t="shared" si="34"/>
        <v>96800.2</v>
      </c>
    </row>
    <row r="222" spans="1:23" s="1" customFormat="1" ht="25.5" customHeight="1">
      <c r="A222" s="106">
        <v>20</v>
      </c>
      <c r="B222" s="142" t="s">
        <v>88</v>
      </c>
      <c r="C222" s="164">
        <v>9132</v>
      </c>
      <c r="D222" s="83">
        <v>0.5</v>
      </c>
      <c r="E222" s="104">
        <v>3153</v>
      </c>
      <c r="F222" s="104">
        <v>2</v>
      </c>
      <c r="G222" s="105">
        <f t="shared" si="28"/>
        <v>1576.5</v>
      </c>
      <c r="H222" s="105"/>
      <c r="I222" s="85"/>
      <c r="J222" s="140"/>
      <c r="K222" s="85"/>
      <c r="L222" s="85"/>
      <c r="M222" s="85"/>
      <c r="N222" s="85"/>
      <c r="O222" s="85">
        <f>G222*10%</f>
        <v>157.65</v>
      </c>
      <c r="P222" s="85"/>
      <c r="Q222" s="85"/>
      <c r="R222" s="85"/>
      <c r="S222" s="85"/>
      <c r="T222" s="140"/>
      <c r="U222" s="80">
        <f t="shared" si="33"/>
        <v>1773.5</v>
      </c>
      <c r="V222" s="81">
        <f t="shared" si="31"/>
        <v>3507.65</v>
      </c>
      <c r="W222" s="81">
        <f t="shared" si="34"/>
        <v>50739.7224</v>
      </c>
    </row>
    <row r="223" spans="1:24" s="1" customFormat="1" ht="18" customHeight="1">
      <c r="A223" s="106">
        <v>21</v>
      </c>
      <c r="B223" s="84" t="s">
        <v>12</v>
      </c>
      <c r="C223" s="83">
        <v>4132</v>
      </c>
      <c r="D223" s="83">
        <v>0.25</v>
      </c>
      <c r="E223" s="104">
        <v>3153</v>
      </c>
      <c r="F223" s="104">
        <v>2</v>
      </c>
      <c r="G223" s="105">
        <f t="shared" si="28"/>
        <v>788.25</v>
      </c>
      <c r="H223" s="105"/>
      <c r="I223" s="85"/>
      <c r="J223" s="140"/>
      <c r="K223" s="85"/>
      <c r="L223" s="85"/>
      <c r="M223" s="85"/>
      <c r="N223" s="85"/>
      <c r="O223" s="85"/>
      <c r="P223" s="85"/>
      <c r="Q223" s="85"/>
      <c r="R223" s="85"/>
      <c r="S223" s="85"/>
      <c r="T223" s="140"/>
      <c r="U223" s="80">
        <f t="shared" si="33"/>
        <v>886.75</v>
      </c>
      <c r="V223" s="81">
        <f t="shared" si="31"/>
        <v>1675</v>
      </c>
      <c r="W223" s="81">
        <f t="shared" si="34"/>
        <v>24265.05</v>
      </c>
      <c r="X223" s="3"/>
    </row>
    <row r="224" spans="1:24" s="1" customFormat="1" ht="13.5">
      <c r="A224" s="84"/>
      <c r="B224" s="84" t="s">
        <v>6</v>
      </c>
      <c r="C224" s="83"/>
      <c r="D224" s="91">
        <f>SUM(D200:D223)</f>
        <v>41.75</v>
      </c>
      <c r="E224" s="107"/>
      <c r="F224" s="111"/>
      <c r="G224" s="85">
        <f aca="true" t="shared" si="35" ref="G224:W224">SUM(G200:G223)</f>
        <v>203395.25</v>
      </c>
      <c r="H224" s="85">
        <f t="shared" si="35"/>
        <v>12111.925</v>
      </c>
      <c r="I224" s="85">
        <f t="shared" si="35"/>
        <v>0</v>
      </c>
      <c r="J224" s="140">
        <f t="shared" si="35"/>
        <v>2372.5</v>
      </c>
      <c r="K224" s="85">
        <f t="shared" si="35"/>
        <v>0</v>
      </c>
      <c r="L224" s="85">
        <f t="shared" si="35"/>
        <v>2984.05</v>
      </c>
      <c r="M224" s="85">
        <f t="shared" si="35"/>
        <v>31485.036425</v>
      </c>
      <c r="N224" s="85">
        <f t="shared" si="35"/>
        <v>13579.59</v>
      </c>
      <c r="O224" s="85">
        <f t="shared" si="35"/>
        <v>157.65</v>
      </c>
      <c r="P224" s="85">
        <f t="shared" si="35"/>
        <v>0</v>
      </c>
      <c r="Q224" s="85">
        <f t="shared" si="35"/>
        <v>2315.34</v>
      </c>
      <c r="R224" s="85">
        <f t="shared" si="35"/>
        <v>0</v>
      </c>
      <c r="S224" s="85">
        <f t="shared" si="35"/>
        <v>0</v>
      </c>
      <c r="T224" s="140">
        <f t="shared" si="35"/>
        <v>2522.4</v>
      </c>
      <c r="U224" s="92">
        <f t="shared" si="35"/>
        <v>58015.15</v>
      </c>
      <c r="V224" s="85">
        <f t="shared" si="35"/>
        <v>328938.89142500004</v>
      </c>
      <c r="W224" s="85">
        <f t="shared" si="35"/>
        <v>4820068.4647128</v>
      </c>
      <c r="X224" s="3"/>
    </row>
    <row r="225" spans="1:23" s="1" customFormat="1" ht="22.5" customHeight="1">
      <c r="A225" s="3"/>
      <c r="B225" s="3"/>
      <c r="C225" s="1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17"/>
      <c r="V225" s="3"/>
      <c r="W225" s="3"/>
    </row>
    <row r="226" spans="1:23" s="1" customFormat="1" ht="16.5" customHeight="1" hidden="1">
      <c r="A226" s="3"/>
      <c r="B226" s="3"/>
      <c r="C226" s="1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s="1" customFormat="1" ht="16.5" customHeight="1" hidden="1">
      <c r="A227" s="3"/>
      <c r="B227" s="3"/>
      <c r="C227" s="162"/>
      <c r="D227" s="3"/>
      <c r="E227" s="3"/>
      <c r="F227" s="3"/>
      <c r="G227" s="3"/>
      <c r="H227" s="3"/>
      <c r="I227" s="3"/>
      <c r="J227" s="3"/>
      <c r="K227" s="3"/>
      <c r="L227" s="3"/>
      <c r="M227" s="117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s="1" customFormat="1" ht="13.5" hidden="1">
      <c r="A228" s="3"/>
      <c r="B228" s="3"/>
      <c r="C228" s="1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1" ht="14.25" customHeight="1">
      <c r="A229" s="6"/>
      <c r="B229" s="6"/>
      <c r="C229" s="166"/>
      <c r="D229" s="39"/>
      <c r="E229" s="39"/>
      <c r="F229" s="194" t="s">
        <v>169</v>
      </c>
      <c r="G229" s="112"/>
      <c r="H229" s="112"/>
      <c r="I229" s="112"/>
      <c r="J229" s="112"/>
      <c r="K229" s="112"/>
      <c r="L229" s="112"/>
      <c r="M229" s="113"/>
      <c r="N229" s="3"/>
      <c r="O229" s="3"/>
      <c r="P229" s="3" t="s">
        <v>170</v>
      </c>
      <c r="Q229" s="113"/>
      <c r="R229" s="6"/>
      <c r="S229" s="6"/>
      <c r="T229" s="6"/>
      <c r="U229" s="28"/>
    </row>
    <row r="230" spans="1:23" ht="15">
      <c r="A230" s="31"/>
      <c r="B230" s="93"/>
      <c r="C230" s="802"/>
      <c r="D230" s="802"/>
      <c r="E230" s="802"/>
      <c r="F230" s="802"/>
      <c r="G230" s="802"/>
      <c r="H230" s="802"/>
      <c r="I230" s="802"/>
      <c r="J230" s="802"/>
      <c r="K230" s="802"/>
      <c r="L230" s="94"/>
      <c r="M230" s="94"/>
      <c r="N230" s="94"/>
      <c r="O230" s="94"/>
      <c r="P230" s="94"/>
      <c r="Q230" s="94"/>
      <c r="R230" s="82"/>
      <c r="S230" s="82"/>
      <c r="T230" s="33"/>
      <c r="U230" s="33"/>
      <c r="V230" s="33"/>
      <c r="W230" s="33"/>
    </row>
    <row r="231" spans="1:23" ht="15">
      <c r="A231" s="31"/>
      <c r="B231" s="93"/>
      <c r="C231" s="802" t="s">
        <v>168</v>
      </c>
      <c r="D231" s="802"/>
      <c r="E231" s="802"/>
      <c r="F231" s="802"/>
      <c r="G231" s="802"/>
      <c r="H231" s="802"/>
      <c r="I231" s="802"/>
      <c r="J231" s="802"/>
      <c r="K231" s="802"/>
      <c r="L231" s="94"/>
      <c r="M231" s="94"/>
      <c r="N231" s="94"/>
      <c r="O231" s="94"/>
      <c r="P231" s="94" t="s">
        <v>167</v>
      </c>
      <c r="Q231" s="94"/>
      <c r="R231" s="82"/>
      <c r="S231" s="82"/>
      <c r="T231" s="33"/>
      <c r="U231" s="33"/>
      <c r="V231" s="33"/>
      <c r="W231" s="33"/>
    </row>
    <row r="232" spans="1:23" ht="15">
      <c r="A232" s="31"/>
      <c r="B232" s="35"/>
      <c r="C232" s="168"/>
      <c r="D232" s="35"/>
      <c r="E232" s="35"/>
      <c r="F232" s="36"/>
      <c r="G232" s="37"/>
      <c r="H232" s="37"/>
      <c r="I232" s="37"/>
      <c r="J232" s="38"/>
      <c r="K232" s="5"/>
      <c r="L232" s="5"/>
      <c r="M232" s="5"/>
      <c r="N232" s="5"/>
      <c r="O232" s="5"/>
      <c r="P232" s="5"/>
      <c r="Q232" s="33"/>
      <c r="R232" s="33"/>
      <c r="S232" s="33"/>
      <c r="T232" s="33"/>
      <c r="U232" s="33"/>
      <c r="V232" s="33"/>
      <c r="W232" s="33"/>
    </row>
    <row r="233" spans="1:23" ht="20.25" customHeight="1">
      <c r="A233" s="154"/>
      <c r="B233" s="6"/>
      <c r="C233" s="166"/>
      <c r="D233" s="6"/>
      <c r="E233" s="6"/>
      <c r="F233" s="155"/>
      <c r="G233" s="155"/>
      <c r="H233" s="155"/>
      <c r="I233" s="6"/>
      <c r="J233" s="29"/>
      <c r="K233" s="6"/>
      <c r="L233" s="6"/>
      <c r="M233" s="6"/>
      <c r="N233" s="6"/>
      <c r="O233" s="6"/>
      <c r="P233" s="6"/>
      <c r="Q233" s="1" t="s">
        <v>102</v>
      </c>
      <c r="R233" s="156">
        <v>6</v>
      </c>
      <c r="S233" s="157"/>
      <c r="T233" s="3"/>
      <c r="U233" s="121"/>
      <c r="V233" s="1"/>
      <c r="W233" s="30"/>
    </row>
    <row r="234" spans="1:24" ht="16.5" customHeight="1">
      <c r="A234" s="154"/>
      <c r="B234" s="6"/>
      <c r="C234" s="166"/>
      <c r="D234" s="6"/>
      <c r="E234" s="6"/>
      <c r="F234" s="155"/>
      <c r="G234" s="155"/>
      <c r="H234" s="155"/>
      <c r="I234" s="6"/>
      <c r="J234" s="29"/>
      <c r="K234" s="6"/>
      <c r="L234" s="6"/>
      <c r="M234" s="6"/>
      <c r="N234" s="6"/>
      <c r="O234" s="6"/>
      <c r="P234" s="6"/>
      <c r="Q234" s="156" t="s">
        <v>103</v>
      </c>
      <c r="R234" s="153"/>
      <c r="S234" s="153"/>
      <c r="T234" s="153"/>
      <c r="U234" s="158"/>
      <c r="V234" s="158"/>
      <c r="W234" s="7"/>
      <c r="X234" s="7"/>
    </row>
    <row r="235" spans="1:23" ht="20.25" customHeight="1">
      <c r="A235" s="154"/>
      <c r="B235" s="6"/>
      <c r="C235" s="166"/>
      <c r="D235" s="6"/>
      <c r="E235" s="6"/>
      <c r="F235" s="155"/>
      <c r="G235" s="155"/>
      <c r="H235" s="155"/>
      <c r="I235" s="6"/>
      <c r="J235" s="29"/>
      <c r="K235" s="6"/>
      <c r="L235" s="6"/>
      <c r="M235" s="6"/>
      <c r="N235" s="6"/>
      <c r="O235" s="6"/>
      <c r="P235" s="6"/>
      <c r="Q235" s="807" t="s">
        <v>104</v>
      </c>
      <c r="R235" s="807"/>
      <c r="S235" s="807"/>
      <c r="T235" s="153" t="s">
        <v>0</v>
      </c>
      <c r="U235" s="159"/>
      <c r="V235" s="153"/>
      <c r="W235" s="8"/>
    </row>
    <row r="236" spans="1:24" ht="57.75" customHeight="1">
      <c r="A236" s="154"/>
      <c r="B236" s="6"/>
      <c r="C236" s="166"/>
      <c r="D236" s="6"/>
      <c r="E236" s="6"/>
      <c r="F236" s="155"/>
      <c r="G236" s="155"/>
      <c r="H236" s="155"/>
      <c r="I236" s="6"/>
      <c r="J236" s="29"/>
      <c r="K236" s="6"/>
      <c r="L236" s="6"/>
      <c r="M236" s="6"/>
      <c r="N236" s="6"/>
      <c r="O236" s="6"/>
      <c r="P236" s="6"/>
      <c r="Q236" s="808" t="s">
        <v>155</v>
      </c>
      <c r="R236" s="808"/>
      <c r="S236" s="808"/>
      <c r="T236" s="808"/>
      <c r="U236" s="808"/>
      <c r="V236" s="808"/>
      <c r="W236" s="8"/>
      <c r="X236" s="8"/>
    </row>
    <row r="237" spans="1:23" ht="24.75" customHeight="1">
      <c r="A237" s="6"/>
      <c r="B237" s="48"/>
      <c r="C237" s="172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95"/>
      <c r="P237" s="95"/>
      <c r="Q237" s="95"/>
      <c r="R237" s="95"/>
      <c r="S237" s="96"/>
      <c r="T237" s="1"/>
      <c r="V237" s="11"/>
      <c r="W237" s="10"/>
    </row>
    <row r="238" spans="1:23" ht="24.75" customHeight="1">
      <c r="A238" s="6"/>
      <c r="B238" s="872"/>
      <c r="C238" s="872"/>
      <c r="D238" s="872"/>
      <c r="E238" s="872"/>
      <c r="F238" s="872"/>
      <c r="G238" s="872"/>
      <c r="H238" s="872"/>
      <c r="I238" s="872"/>
      <c r="J238" s="872"/>
      <c r="K238" s="872"/>
      <c r="L238" s="872"/>
      <c r="M238" s="872"/>
      <c r="N238" s="872"/>
      <c r="P238" s="47"/>
      <c r="Q238" s="47"/>
      <c r="R238" s="47"/>
      <c r="S238" s="47"/>
      <c r="T238" s="47"/>
      <c r="U238" s="32"/>
      <c r="V238" s="32"/>
      <c r="W238" s="32"/>
    </row>
    <row r="239" spans="1:23" ht="24" customHeight="1">
      <c r="A239" s="6"/>
      <c r="B239" s="804" t="s">
        <v>164</v>
      </c>
      <c r="C239" s="804"/>
      <c r="D239" s="804"/>
      <c r="E239" s="804"/>
      <c r="F239" s="804"/>
      <c r="G239" s="804"/>
      <c r="H239" s="804"/>
      <c r="I239" s="804"/>
      <c r="J239" s="804"/>
      <c r="K239" s="804"/>
      <c r="L239" s="804"/>
      <c r="M239" s="804"/>
      <c r="N239" s="3"/>
      <c r="V239" s="10"/>
      <c r="W239" s="10"/>
    </row>
    <row r="240" spans="1:23" ht="20.25" customHeight="1">
      <c r="A240" s="6"/>
      <c r="B240" s="802" t="s">
        <v>97</v>
      </c>
      <c r="C240" s="802"/>
      <c r="D240" s="802"/>
      <c r="E240" s="802"/>
      <c r="F240" s="802"/>
      <c r="G240" s="802"/>
      <c r="H240" s="802"/>
      <c r="I240" s="802"/>
      <c r="J240" s="802"/>
      <c r="K240" s="802"/>
      <c r="L240" s="802"/>
      <c r="M240" s="802"/>
      <c r="N240" s="802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3.5">
      <c r="A241" s="6"/>
      <c r="B241" s="830" t="s">
        <v>7</v>
      </c>
      <c r="C241" s="830"/>
      <c r="D241" s="830"/>
      <c r="E241" s="830"/>
      <c r="F241" s="830"/>
      <c r="G241" s="830"/>
      <c r="H241" s="830"/>
      <c r="I241" s="830"/>
      <c r="J241" s="830"/>
      <c r="K241" s="830"/>
      <c r="L241" s="830"/>
      <c r="M241" s="830"/>
      <c r="N241" s="3"/>
      <c r="O241" s="31"/>
      <c r="P241" s="31"/>
      <c r="Q241" s="31"/>
      <c r="R241" s="31"/>
      <c r="S241" s="31"/>
      <c r="T241" s="31"/>
      <c r="U241" s="31"/>
      <c r="V241" s="31"/>
      <c r="W241" s="31"/>
    </row>
    <row r="242" spans="1:23" ht="13.5">
      <c r="A242" s="6"/>
      <c r="B242" s="3" t="s">
        <v>110</v>
      </c>
      <c r="C242" s="162"/>
      <c r="D242" s="3"/>
      <c r="E242" s="3"/>
      <c r="F242" s="3"/>
      <c r="G242" s="3"/>
      <c r="H242" s="6"/>
      <c r="I242" s="6"/>
      <c r="J242" s="6"/>
      <c r="K242" s="6"/>
      <c r="L242" s="6"/>
      <c r="M242" s="6"/>
      <c r="N242" s="6"/>
      <c r="O242" s="31"/>
      <c r="P242" s="31"/>
      <c r="Q242" s="31"/>
      <c r="R242" s="31"/>
      <c r="S242" s="31"/>
      <c r="T242" s="31"/>
      <c r="U242" s="31"/>
      <c r="V242" s="31"/>
      <c r="W242" s="31"/>
    </row>
    <row r="243" spans="1:23" ht="13.5" hidden="1">
      <c r="A243" s="6"/>
      <c r="B243" s="3"/>
      <c r="C243" s="162"/>
      <c r="D243" s="3"/>
      <c r="E243" s="3"/>
      <c r="F243" s="3"/>
      <c r="G243" s="3"/>
      <c r="H243" s="6"/>
      <c r="I243" s="6"/>
      <c r="J243" s="6"/>
      <c r="K243" s="6"/>
      <c r="L243" s="6"/>
      <c r="M243" s="6"/>
      <c r="N243" s="6"/>
      <c r="O243" s="6"/>
      <c r="P243" s="49"/>
      <c r="Q243" s="49"/>
      <c r="R243" s="49"/>
      <c r="S243" s="49"/>
      <c r="T243" s="49"/>
      <c r="U243" s="31"/>
      <c r="V243" s="31"/>
      <c r="W243" s="31"/>
    </row>
    <row r="244" spans="1:23" ht="13.5">
      <c r="A244" s="6"/>
      <c r="B244" s="3" t="s">
        <v>111</v>
      </c>
      <c r="C244" s="162"/>
      <c r="D244" s="124"/>
      <c r="E244" s="124"/>
      <c r="F244" s="3"/>
      <c r="G244" s="3"/>
      <c r="H244" s="124" t="s">
        <v>109</v>
      </c>
      <c r="I244" s="4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45"/>
      <c r="W244" s="45"/>
    </row>
    <row r="245" spans="1:23" s="1" customFormat="1" ht="22.5" customHeight="1">
      <c r="A245" s="855" t="s">
        <v>0</v>
      </c>
      <c r="B245" s="66" t="s">
        <v>1</v>
      </c>
      <c r="C245" s="890" t="s">
        <v>117</v>
      </c>
      <c r="D245" s="67" t="s">
        <v>2</v>
      </c>
      <c r="E245" s="867" t="s">
        <v>34</v>
      </c>
      <c r="F245" s="845" t="s">
        <v>35</v>
      </c>
      <c r="G245" s="845" t="s">
        <v>38</v>
      </c>
      <c r="H245" s="845" t="s">
        <v>39</v>
      </c>
      <c r="I245" s="864" t="s">
        <v>31</v>
      </c>
      <c r="J245" s="865"/>
      <c r="K245" s="865"/>
      <c r="L245" s="866"/>
      <c r="M245" s="867" t="s">
        <v>71</v>
      </c>
      <c r="N245" s="867"/>
      <c r="O245" s="868" t="s">
        <v>19</v>
      </c>
      <c r="P245" s="869"/>
      <c r="Q245" s="869"/>
      <c r="R245" s="869"/>
      <c r="S245" s="869"/>
      <c r="T245" s="870"/>
      <c r="U245" s="849" t="s">
        <v>100</v>
      </c>
      <c r="V245" s="826" t="s">
        <v>72</v>
      </c>
      <c r="W245" s="826" t="s">
        <v>143</v>
      </c>
    </row>
    <row r="246" spans="1:23" s="1" customFormat="1" ht="12.75" customHeight="1">
      <c r="A246" s="856"/>
      <c r="B246" s="70" t="s">
        <v>18</v>
      </c>
      <c r="C246" s="891"/>
      <c r="D246" s="70" t="s">
        <v>3</v>
      </c>
      <c r="E246" s="867"/>
      <c r="F246" s="846"/>
      <c r="G246" s="846"/>
      <c r="H246" s="846"/>
      <c r="I246" s="811" t="s">
        <v>48</v>
      </c>
      <c r="J246" s="811" t="s">
        <v>73</v>
      </c>
      <c r="K246" s="811" t="s">
        <v>74</v>
      </c>
      <c r="L246" s="831" t="s">
        <v>154</v>
      </c>
      <c r="M246" s="811" t="s">
        <v>22</v>
      </c>
      <c r="N246" s="863" t="s">
        <v>50</v>
      </c>
      <c r="O246" s="811" t="s">
        <v>20</v>
      </c>
      <c r="P246" s="819" t="s">
        <v>41</v>
      </c>
      <c r="Q246" s="819" t="s">
        <v>41</v>
      </c>
      <c r="R246" s="834"/>
      <c r="S246" s="834"/>
      <c r="T246" s="811" t="s">
        <v>75</v>
      </c>
      <c r="U246" s="850"/>
      <c r="V246" s="827"/>
      <c r="W246" s="827"/>
    </row>
    <row r="247" spans="1:23" s="1" customFormat="1" ht="13.5">
      <c r="A247" s="856"/>
      <c r="B247" s="70"/>
      <c r="C247" s="891"/>
      <c r="D247" s="70" t="s">
        <v>4</v>
      </c>
      <c r="E247" s="867"/>
      <c r="F247" s="846"/>
      <c r="G247" s="846"/>
      <c r="H247" s="846"/>
      <c r="I247" s="812"/>
      <c r="J247" s="812"/>
      <c r="K247" s="812"/>
      <c r="L247" s="832"/>
      <c r="M247" s="861"/>
      <c r="N247" s="861"/>
      <c r="O247" s="812"/>
      <c r="P247" s="820"/>
      <c r="Q247" s="820"/>
      <c r="R247" s="812"/>
      <c r="S247" s="812"/>
      <c r="T247" s="812"/>
      <c r="U247" s="850"/>
      <c r="V247" s="827"/>
      <c r="W247" s="827"/>
    </row>
    <row r="248" spans="1:23" s="1" customFormat="1" ht="13.5">
      <c r="A248" s="69"/>
      <c r="B248" s="70"/>
      <c r="C248" s="891"/>
      <c r="D248" s="70"/>
      <c r="E248" s="867"/>
      <c r="F248" s="846"/>
      <c r="G248" s="846"/>
      <c r="H248" s="846"/>
      <c r="I248" s="812"/>
      <c r="J248" s="812"/>
      <c r="K248" s="812"/>
      <c r="L248" s="832"/>
      <c r="M248" s="861"/>
      <c r="N248" s="861"/>
      <c r="O248" s="812"/>
      <c r="P248" s="820"/>
      <c r="Q248" s="820"/>
      <c r="R248" s="812"/>
      <c r="S248" s="812"/>
      <c r="T248" s="812"/>
      <c r="U248" s="850"/>
      <c r="V248" s="827"/>
      <c r="W248" s="827"/>
    </row>
    <row r="249" spans="1:23" s="1" customFormat="1" ht="60" customHeight="1">
      <c r="A249" s="71"/>
      <c r="B249" s="72"/>
      <c r="C249" s="892"/>
      <c r="D249" s="73"/>
      <c r="E249" s="867"/>
      <c r="F249" s="847"/>
      <c r="G249" s="847"/>
      <c r="H249" s="847"/>
      <c r="I249" s="813"/>
      <c r="J249" s="813"/>
      <c r="K249" s="813"/>
      <c r="L249" s="833"/>
      <c r="M249" s="862"/>
      <c r="N249" s="862"/>
      <c r="O249" s="813"/>
      <c r="P249" s="821"/>
      <c r="Q249" s="821"/>
      <c r="R249" s="813"/>
      <c r="S249" s="813"/>
      <c r="T249" s="813"/>
      <c r="U249" s="851"/>
      <c r="V249" s="828"/>
      <c r="W249" s="828"/>
    </row>
    <row r="250" spans="1:23" s="1" customFormat="1" ht="18.75" customHeight="1">
      <c r="A250" s="102">
        <v>1</v>
      </c>
      <c r="B250" s="75" t="s">
        <v>52</v>
      </c>
      <c r="C250" s="74" t="s">
        <v>118</v>
      </c>
      <c r="D250" s="74">
        <v>1</v>
      </c>
      <c r="E250" s="104">
        <v>8071</v>
      </c>
      <c r="F250" s="104">
        <v>16</v>
      </c>
      <c r="G250" s="105">
        <f>E250*D250</f>
        <v>8071</v>
      </c>
      <c r="H250" s="105">
        <f>G250*10%</f>
        <v>807.1</v>
      </c>
      <c r="I250" s="78">
        <v>242.13</v>
      </c>
      <c r="J250" s="78"/>
      <c r="K250" s="78">
        <v>3228.4</v>
      </c>
      <c r="L250" s="78"/>
      <c r="M250" s="78">
        <f>(G250+H250+I250+K250+L250)*30%</f>
        <v>3704.5889999999995</v>
      </c>
      <c r="N250" s="78">
        <f>(G250+H250+I250+K250+L250)*10%</f>
        <v>1234.863</v>
      </c>
      <c r="O250" s="78"/>
      <c r="P250" s="78"/>
      <c r="Q250" s="78"/>
      <c r="R250" s="78"/>
      <c r="S250" s="78"/>
      <c r="T250" s="78"/>
      <c r="U250" s="80"/>
      <c r="V250" s="81">
        <f>G250+H250+I250+J250+K250+L250+M250+N250+O250+Q250+T250+U250</f>
        <v>17288.082</v>
      </c>
      <c r="W250" s="81">
        <f>V250*12*1.168+G250+G250*5%</f>
        <v>250784.30731199996</v>
      </c>
    </row>
    <row r="251" spans="1:23" s="1" customFormat="1" ht="13.5">
      <c r="A251" s="106">
        <v>2</v>
      </c>
      <c r="B251" s="84" t="s">
        <v>11</v>
      </c>
      <c r="C251" s="83" t="s">
        <v>119</v>
      </c>
      <c r="D251" s="83">
        <v>1</v>
      </c>
      <c r="E251" s="104">
        <v>7001</v>
      </c>
      <c r="F251" s="104">
        <v>14</v>
      </c>
      <c r="G251" s="105">
        <f aca="true" t="shared" si="36" ref="G251:G284">E251*D251</f>
        <v>7001</v>
      </c>
      <c r="H251" s="105">
        <f aca="true" t="shared" si="37" ref="H251:H271">G251*10%</f>
        <v>700.1</v>
      </c>
      <c r="I251" s="78"/>
      <c r="J251" s="85"/>
      <c r="K251" s="85">
        <f>E251*20%*0.25</f>
        <v>350.05</v>
      </c>
      <c r="L251" s="85">
        <f>E251*10%</f>
        <v>700.1</v>
      </c>
      <c r="M251" s="78">
        <f>(G251+H251+I251+K251+L251)*30%</f>
        <v>2625.375</v>
      </c>
      <c r="N251" s="78">
        <f aca="true" t="shared" si="38" ref="N251:N264">(G251+H251+I251+K251+L251)*10%</f>
        <v>875.125</v>
      </c>
      <c r="O251" s="85"/>
      <c r="P251" s="85"/>
      <c r="Q251" s="85"/>
      <c r="R251" s="85"/>
      <c r="S251" s="85"/>
      <c r="T251" s="78"/>
      <c r="U251" s="80"/>
      <c r="V251" s="81">
        <f aca="true" t="shared" si="39" ref="V251:V284">G251+H251+I251+J251+K251+L251+M251+N251+O251+Q251+T251+U251</f>
        <v>12251.75</v>
      </c>
      <c r="W251" s="81">
        <f aca="true" t="shared" si="40" ref="W251:W271">V251*12*1.168+G251+G251*5%</f>
        <v>179071.57799999998</v>
      </c>
    </row>
    <row r="252" spans="1:23" s="1" customFormat="1" ht="17.25" customHeight="1">
      <c r="A252" s="106">
        <v>3</v>
      </c>
      <c r="B252" s="84" t="s">
        <v>27</v>
      </c>
      <c r="C252" s="83" t="s">
        <v>120</v>
      </c>
      <c r="D252" s="83">
        <v>1</v>
      </c>
      <c r="E252" s="104">
        <v>5005</v>
      </c>
      <c r="F252" s="104">
        <v>9</v>
      </c>
      <c r="G252" s="105">
        <f>E252*D252</f>
        <v>5005</v>
      </c>
      <c r="H252" s="105">
        <f t="shared" si="37"/>
        <v>500.5</v>
      </c>
      <c r="I252" s="78"/>
      <c r="J252" s="85"/>
      <c r="K252" s="85">
        <f>G252*20%*0.25</f>
        <v>250.25</v>
      </c>
      <c r="L252" s="85"/>
      <c r="M252" s="78">
        <f>(G252+H252+I252+K252+L252)*30%</f>
        <v>1726.725</v>
      </c>
      <c r="N252" s="78">
        <f t="shared" si="38"/>
        <v>575.575</v>
      </c>
      <c r="O252" s="85"/>
      <c r="P252" s="85"/>
      <c r="Q252" s="85"/>
      <c r="R252" s="85"/>
      <c r="S252" s="85"/>
      <c r="T252" s="78"/>
      <c r="U252" s="80"/>
      <c r="V252" s="81">
        <f t="shared" si="39"/>
        <v>8058.05</v>
      </c>
      <c r="W252" s="81">
        <f t="shared" si="40"/>
        <v>118196.8788</v>
      </c>
    </row>
    <row r="253" spans="1:23" s="1" customFormat="1" ht="16.5" customHeight="1">
      <c r="A253" s="102">
        <v>4</v>
      </c>
      <c r="B253" s="84" t="s">
        <v>27</v>
      </c>
      <c r="C253" s="83" t="s">
        <v>120</v>
      </c>
      <c r="D253" s="83">
        <v>1</v>
      </c>
      <c r="E253" s="104">
        <v>5265</v>
      </c>
      <c r="F253" s="104">
        <v>10</v>
      </c>
      <c r="G253" s="105">
        <f t="shared" si="36"/>
        <v>5265</v>
      </c>
      <c r="H253" s="105">
        <f t="shared" si="37"/>
        <v>526.5</v>
      </c>
      <c r="I253" s="78"/>
      <c r="J253" s="85"/>
      <c r="K253" s="85">
        <f>G253*20%</f>
        <v>1053</v>
      </c>
      <c r="L253" s="17"/>
      <c r="M253" s="78">
        <v>868.73</v>
      </c>
      <c r="N253" s="78">
        <f t="shared" si="38"/>
        <v>684.45</v>
      </c>
      <c r="O253" s="17"/>
      <c r="P253" s="17"/>
      <c r="Q253" s="17"/>
      <c r="R253" s="17"/>
      <c r="S253" s="17"/>
      <c r="T253" s="16"/>
      <c r="U253" s="18"/>
      <c r="V253" s="81">
        <f>G253+H253+I253+J253+K253+L253+M253+N253+O253+Q253+T253+U253</f>
        <v>8397.68</v>
      </c>
      <c r="W253" s="81">
        <f t="shared" si="40"/>
        <v>123230.13287999999</v>
      </c>
    </row>
    <row r="254" spans="1:23" s="1" customFormat="1" ht="16.5" customHeight="1">
      <c r="A254" s="102">
        <v>5</v>
      </c>
      <c r="B254" s="84" t="s">
        <v>27</v>
      </c>
      <c r="C254" s="83" t="s">
        <v>120</v>
      </c>
      <c r="D254" s="83">
        <v>0.5</v>
      </c>
      <c r="E254" s="104">
        <v>5265</v>
      </c>
      <c r="F254" s="104">
        <v>10</v>
      </c>
      <c r="G254" s="105">
        <f t="shared" si="36"/>
        <v>2632.5</v>
      </c>
      <c r="H254" s="105">
        <f t="shared" si="37"/>
        <v>263.25</v>
      </c>
      <c r="I254" s="78"/>
      <c r="J254" s="85"/>
      <c r="K254" s="85">
        <f>E254*0.25*20%</f>
        <v>263.25</v>
      </c>
      <c r="L254" s="17"/>
      <c r="M254" s="78"/>
      <c r="N254" s="78">
        <f t="shared" si="38"/>
        <v>315.90000000000003</v>
      </c>
      <c r="O254" s="17"/>
      <c r="P254" s="17"/>
      <c r="Q254" s="17"/>
      <c r="R254" s="17"/>
      <c r="S254" s="17"/>
      <c r="T254" s="16"/>
      <c r="U254" s="18"/>
      <c r="V254" s="81">
        <f>G254+H254+I254+J254+K254+L254+M254+N254+O254+Q254+T254+U254</f>
        <v>3474.9</v>
      </c>
      <c r="W254" s="81">
        <f t="shared" si="40"/>
        <v>51468.3234</v>
      </c>
    </row>
    <row r="255" spans="1:23" s="1" customFormat="1" ht="15.75" customHeight="1">
      <c r="A255" s="102">
        <v>6</v>
      </c>
      <c r="B255" s="143" t="s">
        <v>76</v>
      </c>
      <c r="C255" s="161">
        <v>2340</v>
      </c>
      <c r="D255" s="83">
        <v>1</v>
      </c>
      <c r="E255" s="104">
        <v>6567</v>
      </c>
      <c r="F255" s="104">
        <v>13</v>
      </c>
      <c r="G255" s="105">
        <f t="shared" si="36"/>
        <v>6567</v>
      </c>
      <c r="H255" s="105">
        <f t="shared" si="37"/>
        <v>656.7</v>
      </c>
      <c r="I255" s="78"/>
      <c r="J255" s="85"/>
      <c r="K255" s="85">
        <f>E255*20%</f>
        <v>1313.4</v>
      </c>
      <c r="L255" s="85"/>
      <c r="M255" s="78">
        <f>(G255+H255+I255+K255+L255)*30%</f>
        <v>2561.13</v>
      </c>
      <c r="N255" s="78">
        <f t="shared" si="38"/>
        <v>853.71</v>
      </c>
      <c r="O255" s="85"/>
      <c r="P255" s="85"/>
      <c r="Q255" s="85"/>
      <c r="R255" s="85"/>
      <c r="S255" s="85"/>
      <c r="T255" s="78"/>
      <c r="U255" s="80"/>
      <c r="V255" s="81">
        <f t="shared" si="39"/>
        <v>11951.939999999999</v>
      </c>
      <c r="W255" s="81">
        <f t="shared" si="40"/>
        <v>174413.74103999996</v>
      </c>
    </row>
    <row r="256" spans="1:23" s="1" customFormat="1" ht="18.75" customHeight="1">
      <c r="A256" s="102">
        <v>7</v>
      </c>
      <c r="B256" s="86" t="s">
        <v>135</v>
      </c>
      <c r="C256" s="152">
        <v>3475</v>
      </c>
      <c r="D256" s="83">
        <v>1</v>
      </c>
      <c r="E256" s="104">
        <v>5005</v>
      </c>
      <c r="F256" s="104">
        <v>9</v>
      </c>
      <c r="G256" s="105">
        <f t="shared" si="36"/>
        <v>5005</v>
      </c>
      <c r="H256" s="105">
        <f t="shared" si="37"/>
        <v>500.5</v>
      </c>
      <c r="I256" s="78"/>
      <c r="J256" s="85"/>
      <c r="K256" s="85">
        <f>E256*20%*0.5</f>
        <v>500.5</v>
      </c>
      <c r="L256" s="85"/>
      <c r="M256" s="78">
        <f>(G256+H256+I256+K256+L256)*30%</f>
        <v>1801.8</v>
      </c>
      <c r="N256" s="78">
        <f t="shared" si="38"/>
        <v>600.6</v>
      </c>
      <c r="O256" s="85"/>
      <c r="P256" s="85"/>
      <c r="Q256" s="85"/>
      <c r="R256" s="85"/>
      <c r="S256" s="85"/>
      <c r="T256" s="78"/>
      <c r="U256" s="80"/>
      <c r="V256" s="81">
        <f t="shared" si="39"/>
        <v>8408.4</v>
      </c>
      <c r="W256" s="81">
        <f t="shared" si="40"/>
        <v>123107.38439999998</v>
      </c>
    </row>
    <row r="257" spans="1:23" ht="13.5" hidden="1">
      <c r="A257" s="56"/>
      <c r="B257" s="12"/>
      <c r="C257" s="23"/>
      <c r="D257" s="23"/>
      <c r="E257" s="14"/>
      <c r="F257" s="14"/>
      <c r="G257" s="15">
        <f t="shared" si="36"/>
        <v>0</v>
      </c>
      <c r="H257" s="15">
        <f t="shared" si="37"/>
        <v>0</v>
      </c>
      <c r="I257" s="17"/>
      <c r="J257" s="17"/>
      <c r="K257" s="17">
        <f>E257*20%*0.25</f>
        <v>0</v>
      </c>
      <c r="L257" s="17"/>
      <c r="M257" s="16">
        <f>(G257+H257+I257+K257+L257)*30%</f>
        <v>0</v>
      </c>
      <c r="N257" s="16">
        <f t="shared" si="38"/>
        <v>0</v>
      </c>
      <c r="O257" s="17"/>
      <c r="P257" s="17"/>
      <c r="Q257" s="17"/>
      <c r="R257" s="17"/>
      <c r="S257" s="17"/>
      <c r="T257" s="16"/>
      <c r="U257" s="18"/>
      <c r="V257" s="19">
        <f t="shared" si="39"/>
        <v>0</v>
      </c>
      <c r="W257" s="81">
        <f t="shared" si="40"/>
        <v>0</v>
      </c>
    </row>
    <row r="258" spans="1:23" s="1" customFormat="1" ht="14.25" customHeight="1">
      <c r="A258" s="106">
        <v>8</v>
      </c>
      <c r="B258" s="84" t="s">
        <v>13</v>
      </c>
      <c r="C258" s="83" t="s">
        <v>121</v>
      </c>
      <c r="D258" s="83">
        <v>0.5</v>
      </c>
      <c r="E258" s="104">
        <v>5699</v>
      </c>
      <c r="F258" s="104">
        <v>11</v>
      </c>
      <c r="G258" s="105">
        <f t="shared" si="36"/>
        <v>2849.5</v>
      </c>
      <c r="H258" s="105">
        <f t="shared" si="37"/>
        <v>284.95</v>
      </c>
      <c r="I258" s="85"/>
      <c r="J258" s="85"/>
      <c r="K258" s="85">
        <v>569.9</v>
      </c>
      <c r="L258" s="85"/>
      <c r="M258" s="78">
        <f>(G258+H258+I258+K258+L258)*10%</f>
        <v>370.435</v>
      </c>
      <c r="N258" s="78">
        <f>(G258+H258+I258+K258+L258)*10%</f>
        <v>370.435</v>
      </c>
      <c r="O258" s="85"/>
      <c r="P258" s="85"/>
      <c r="Q258" s="85"/>
      <c r="R258" s="85"/>
      <c r="S258" s="85"/>
      <c r="T258" s="78"/>
      <c r="U258" s="80"/>
      <c r="V258" s="81">
        <f>G258+H258+I258+J258+K258+L258+M258+N258+O258+Q258+T258+U258</f>
        <v>4445.22</v>
      </c>
      <c r="W258" s="81">
        <f t="shared" si="40"/>
        <v>65296.178519999994</v>
      </c>
    </row>
    <row r="259" spans="1:23" s="1" customFormat="1" ht="14.25" customHeight="1">
      <c r="A259" s="106">
        <v>9</v>
      </c>
      <c r="B259" s="84" t="s">
        <v>13</v>
      </c>
      <c r="C259" s="83" t="s">
        <v>121</v>
      </c>
      <c r="D259" s="83">
        <v>0.5</v>
      </c>
      <c r="E259" s="104">
        <v>6133</v>
      </c>
      <c r="F259" s="104">
        <v>12</v>
      </c>
      <c r="G259" s="105">
        <f t="shared" si="36"/>
        <v>3066.5</v>
      </c>
      <c r="H259" s="105">
        <f t="shared" si="37"/>
        <v>306.65000000000003</v>
      </c>
      <c r="I259" s="85"/>
      <c r="J259" s="85"/>
      <c r="K259" s="85">
        <f>G259*20%*0.25</f>
        <v>153.32500000000002</v>
      </c>
      <c r="L259" s="85"/>
      <c r="M259" s="78">
        <f>(G259+H259+I259+K259+L259)*30%</f>
        <v>1057.9424999999999</v>
      </c>
      <c r="N259" s="78">
        <f>(G259+H259+I259+K259+L259)*10%</f>
        <v>352.64750000000004</v>
      </c>
      <c r="O259" s="85"/>
      <c r="P259" s="85"/>
      <c r="Q259" s="85"/>
      <c r="R259" s="85"/>
      <c r="S259" s="85"/>
      <c r="T259" s="78"/>
      <c r="U259" s="80"/>
      <c r="V259" s="81">
        <f>G259+H259+I259+J259+K259+L259+M259+N259+O259+Q259+T259+U259</f>
        <v>4937.065</v>
      </c>
      <c r="W259" s="81">
        <f t="shared" si="40"/>
        <v>72417.72803999999</v>
      </c>
    </row>
    <row r="260" spans="1:23" s="1" customFormat="1" ht="13.5">
      <c r="A260" s="106">
        <v>10</v>
      </c>
      <c r="B260" s="84" t="s">
        <v>126</v>
      </c>
      <c r="C260" s="83">
        <v>2340</v>
      </c>
      <c r="D260" s="83">
        <v>3</v>
      </c>
      <c r="E260" s="104">
        <v>6567</v>
      </c>
      <c r="F260" s="104">
        <v>13</v>
      </c>
      <c r="G260" s="105">
        <f t="shared" si="36"/>
        <v>19701</v>
      </c>
      <c r="H260" s="105">
        <f t="shared" si="37"/>
        <v>1970.1000000000001</v>
      </c>
      <c r="I260" s="17"/>
      <c r="J260" s="17"/>
      <c r="K260" s="85">
        <f>G260*20%</f>
        <v>3940.2000000000003</v>
      </c>
      <c r="L260" s="17"/>
      <c r="M260" s="78">
        <f>2561.13+2561.13+2561.13</f>
        <v>7683.39</v>
      </c>
      <c r="N260" s="78">
        <f>(G260+H260+I260+K260+L260)*10%</f>
        <v>2561.13</v>
      </c>
      <c r="O260" s="85"/>
      <c r="P260" s="85"/>
      <c r="Q260" s="85"/>
      <c r="R260" s="85"/>
      <c r="S260" s="85"/>
      <c r="T260" s="78"/>
      <c r="U260" s="80"/>
      <c r="V260" s="81">
        <f>G260+H260+I260+J260+K260+L260+M260+N260+O260+Q260+T260+U260</f>
        <v>35855.82</v>
      </c>
      <c r="W260" s="81">
        <f t="shared" si="40"/>
        <v>523241.2231199999</v>
      </c>
    </row>
    <row r="261" spans="1:29" ht="17.25" customHeight="1" hidden="1">
      <c r="A261" s="56"/>
      <c r="B261" s="12"/>
      <c r="C261" s="23"/>
      <c r="D261" s="23"/>
      <c r="E261" s="14"/>
      <c r="F261" s="183"/>
      <c r="G261" s="15"/>
      <c r="H261" s="15"/>
      <c r="I261" s="17"/>
      <c r="J261" s="17"/>
      <c r="K261" s="17"/>
      <c r="L261" s="17"/>
      <c r="M261" s="16"/>
      <c r="N261" s="16"/>
      <c r="O261" s="17"/>
      <c r="P261" s="17"/>
      <c r="Q261" s="17"/>
      <c r="R261" s="17"/>
      <c r="S261" s="17"/>
      <c r="T261" s="16"/>
      <c r="U261" s="18"/>
      <c r="V261" s="19">
        <f t="shared" si="39"/>
        <v>0</v>
      </c>
      <c r="W261" s="81">
        <f t="shared" si="40"/>
        <v>0</v>
      </c>
      <c r="AC261" s="9">
        <f>E250+E251+E252*D252+E255+E256+E258+E260+E261*D261+E262*D262+E265*D265+E266*D266+E268*D268</f>
        <v>155270.75</v>
      </c>
    </row>
    <row r="262" spans="1:23" s="1" customFormat="1" ht="28.5" customHeight="1">
      <c r="A262" s="106">
        <v>11</v>
      </c>
      <c r="B262" s="180" t="s">
        <v>129</v>
      </c>
      <c r="C262" s="83">
        <v>3231</v>
      </c>
      <c r="D262" s="83">
        <v>1.5</v>
      </c>
      <c r="E262" s="104">
        <v>4195</v>
      </c>
      <c r="F262" s="115" t="s">
        <v>153</v>
      </c>
      <c r="G262" s="105">
        <f>E262*D262</f>
        <v>6292.5</v>
      </c>
      <c r="H262" s="105"/>
      <c r="I262" s="78"/>
      <c r="J262" s="85"/>
      <c r="K262" s="85"/>
      <c r="L262" s="85">
        <f>G262*10%</f>
        <v>629.25</v>
      </c>
      <c r="M262" s="78">
        <f>1038.26+1038.26</f>
        <v>2076.52</v>
      </c>
      <c r="N262" s="78"/>
      <c r="O262" s="85"/>
      <c r="P262" s="85"/>
      <c r="Q262" s="85"/>
      <c r="R262" s="85"/>
      <c r="S262" s="85"/>
      <c r="T262" s="78"/>
      <c r="U262" s="80">
        <f>6700*D262-G262-H262-I262-J262-K262-L262-M262-N262</f>
        <v>1051.73</v>
      </c>
      <c r="V262" s="81">
        <f>G262+H262+I262+J262+K262+L262+M262+N262+O262+Q262+T262+U262</f>
        <v>10050</v>
      </c>
      <c r="W262" s="81">
        <f t="shared" si="40"/>
        <v>147467.925</v>
      </c>
    </row>
    <row r="263" spans="1:23" ht="11.25" customHeight="1" hidden="1">
      <c r="A263" s="56">
        <v>8</v>
      </c>
      <c r="B263" s="12"/>
      <c r="C263" s="23"/>
      <c r="D263" s="23"/>
      <c r="E263" s="14"/>
      <c r="F263" s="183"/>
      <c r="G263" s="15">
        <f t="shared" si="36"/>
        <v>0</v>
      </c>
      <c r="H263" s="15">
        <f t="shared" si="37"/>
        <v>0</v>
      </c>
      <c r="I263" s="16"/>
      <c r="J263" s="17"/>
      <c r="K263" s="17"/>
      <c r="L263" s="17"/>
      <c r="M263" s="16">
        <f>(G263+H263+I263+K263+L263)*30%</f>
        <v>0</v>
      </c>
      <c r="N263" s="16">
        <f t="shared" si="38"/>
        <v>0</v>
      </c>
      <c r="O263" s="17"/>
      <c r="P263" s="17"/>
      <c r="Q263" s="17"/>
      <c r="R263" s="17"/>
      <c r="S263" s="17"/>
      <c r="T263" s="16"/>
      <c r="U263" s="80">
        <f>6700*D263-G263-H263-I263-J263-K263-L263-M263-N263</f>
        <v>0</v>
      </c>
      <c r="V263" s="19">
        <f t="shared" si="39"/>
        <v>0</v>
      </c>
      <c r="W263" s="81">
        <f t="shared" si="40"/>
        <v>0</v>
      </c>
    </row>
    <row r="264" spans="1:23" ht="13.5" hidden="1">
      <c r="A264" s="56">
        <v>9</v>
      </c>
      <c r="B264" s="12"/>
      <c r="C264" s="23"/>
      <c r="D264" s="23"/>
      <c r="E264" s="14"/>
      <c r="F264" s="183"/>
      <c r="G264" s="15">
        <f t="shared" si="36"/>
        <v>0</v>
      </c>
      <c r="H264" s="15">
        <f t="shared" si="37"/>
        <v>0</v>
      </c>
      <c r="I264" s="16"/>
      <c r="J264" s="17"/>
      <c r="K264" s="17"/>
      <c r="L264" s="17"/>
      <c r="M264" s="16">
        <f>(G264+H264+I264+K264+L264)*30%</f>
        <v>0</v>
      </c>
      <c r="N264" s="16">
        <f t="shared" si="38"/>
        <v>0</v>
      </c>
      <c r="O264" s="17"/>
      <c r="P264" s="17"/>
      <c r="Q264" s="17"/>
      <c r="R264" s="17"/>
      <c r="S264" s="17"/>
      <c r="T264" s="16"/>
      <c r="U264" s="80">
        <f>6700*D264-G264-H264-I264-J264-K264-L264-M264-N264</f>
        <v>0</v>
      </c>
      <c r="V264" s="19">
        <f t="shared" si="39"/>
        <v>0</v>
      </c>
      <c r="W264" s="81">
        <f t="shared" si="40"/>
        <v>0</v>
      </c>
    </row>
    <row r="265" spans="1:23" s="1" customFormat="1" ht="42.75" customHeight="1">
      <c r="A265" s="106">
        <v>12</v>
      </c>
      <c r="B265" s="86" t="s">
        <v>162</v>
      </c>
      <c r="C265" s="152">
        <v>2332</v>
      </c>
      <c r="D265" s="83">
        <v>3</v>
      </c>
      <c r="E265" s="104">
        <v>7001</v>
      </c>
      <c r="F265" s="115" t="s">
        <v>42</v>
      </c>
      <c r="G265" s="105">
        <f>E265*D265</f>
        <v>21003</v>
      </c>
      <c r="H265" s="105">
        <f t="shared" si="37"/>
        <v>2100.3</v>
      </c>
      <c r="I265" s="78"/>
      <c r="J265" s="85"/>
      <c r="K265" s="85">
        <f>E265*20%*2</f>
        <v>2800.4</v>
      </c>
      <c r="L265" s="78"/>
      <c r="M265" s="78">
        <f>2730.39+2730.39+2310.33</f>
        <v>7771.11</v>
      </c>
      <c r="N265" s="78">
        <f>910.13+910.13+770.11</f>
        <v>2590.37</v>
      </c>
      <c r="O265" s="85"/>
      <c r="P265" s="85"/>
      <c r="Q265" s="85"/>
      <c r="R265" s="85"/>
      <c r="S265" s="85"/>
      <c r="T265" s="78"/>
      <c r="U265" s="80"/>
      <c r="V265" s="81">
        <f>G265+H265+I265+J265+K265+L265+M265+N265+O265+Q265+T265+U265</f>
        <v>36265.18</v>
      </c>
      <c r="W265" s="81">
        <f t="shared" si="40"/>
        <v>530345.9128800001</v>
      </c>
    </row>
    <row r="266" spans="1:23" s="1" customFormat="1" ht="18.75" customHeight="1" hidden="1">
      <c r="A266" s="106">
        <v>12</v>
      </c>
      <c r="B266" s="21" t="s">
        <v>77</v>
      </c>
      <c r="C266" s="167"/>
      <c r="D266" s="23"/>
      <c r="E266" s="14">
        <v>6061</v>
      </c>
      <c r="F266" s="22" t="s">
        <v>45</v>
      </c>
      <c r="G266" s="15">
        <f t="shared" si="36"/>
        <v>0</v>
      </c>
      <c r="H266" s="15">
        <f t="shared" si="37"/>
        <v>0</v>
      </c>
      <c r="I266" s="16"/>
      <c r="J266" s="17"/>
      <c r="K266" s="17">
        <v>0</v>
      </c>
      <c r="L266" s="16"/>
      <c r="M266" s="16">
        <v>0</v>
      </c>
      <c r="N266" s="16">
        <f>(G266+H266+I266+K266+L266)*10%</f>
        <v>0</v>
      </c>
      <c r="O266" s="17"/>
      <c r="P266" s="17"/>
      <c r="Q266" s="17"/>
      <c r="R266" s="17"/>
      <c r="S266" s="17"/>
      <c r="T266" s="16"/>
      <c r="U266" s="80"/>
      <c r="V266" s="19">
        <f t="shared" si="39"/>
        <v>0</v>
      </c>
      <c r="W266" s="81">
        <f t="shared" si="40"/>
        <v>0</v>
      </c>
    </row>
    <row r="267" spans="1:23" s="1" customFormat="1" ht="41.25" customHeight="1">
      <c r="A267" s="106">
        <v>13</v>
      </c>
      <c r="B267" s="86" t="s">
        <v>163</v>
      </c>
      <c r="C267" s="152">
        <v>2332</v>
      </c>
      <c r="D267" s="83">
        <v>5.5</v>
      </c>
      <c r="E267" s="104">
        <v>6133</v>
      </c>
      <c r="F267" s="114" t="s">
        <v>66</v>
      </c>
      <c r="G267" s="105">
        <f t="shared" si="36"/>
        <v>33731.5</v>
      </c>
      <c r="H267" s="105">
        <f t="shared" si="37"/>
        <v>3373.15</v>
      </c>
      <c r="I267" s="16"/>
      <c r="J267" s="17"/>
      <c r="K267" s="85">
        <f>E267*2.5*20%</f>
        <v>3066.5</v>
      </c>
      <c r="L267" s="16"/>
      <c r="M267" s="78">
        <f>1993.23+1993.23+797.29+1349.26+1349.26</f>
        <v>7482.27</v>
      </c>
      <c r="N267" s="78">
        <f>(G267+H267+I267+K267+L267)*10%</f>
        <v>4017.1150000000002</v>
      </c>
      <c r="O267" s="17"/>
      <c r="P267" s="17"/>
      <c r="Q267" s="17"/>
      <c r="R267" s="17"/>
      <c r="S267" s="17"/>
      <c r="T267" s="16"/>
      <c r="U267" s="80"/>
      <c r="V267" s="81">
        <f t="shared" si="39"/>
        <v>51670.534999999996</v>
      </c>
      <c r="W267" s="81">
        <f t="shared" si="40"/>
        <v>759632.2935599998</v>
      </c>
    </row>
    <row r="268" spans="1:23" s="1" customFormat="1" ht="29.25" customHeight="1">
      <c r="A268" s="106">
        <v>14</v>
      </c>
      <c r="B268" s="86" t="s">
        <v>158</v>
      </c>
      <c r="C268" s="152">
        <v>2332</v>
      </c>
      <c r="D268" s="83">
        <v>14.75</v>
      </c>
      <c r="E268" s="104">
        <v>5699</v>
      </c>
      <c r="F268" s="114" t="s">
        <v>53</v>
      </c>
      <c r="G268" s="105">
        <f t="shared" si="36"/>
        <v>84060.25</v>
      </c>
      <c r="H268" s="105">
        <f t="shared" si="37"/>
        <v>8406.025</v>
      </c>
      <c r="I268" s="16"/>
      <c r="J268" s="17"/>
      <c r="K268" s="85">
        <f>E268*20%*10</f>
        <v>11398</v>
      </c>
      <c r="L268" s="78">
        <v>7479.95</v>
      </c>
      <c r="M268" s="78">
        <v>29600.39</v>
      </c>
      <c r="N268" s="78">
        <f>(G268+H268+I268+K268+L268)*10%</f>
        <v>11134.4225</v>
      </c>
      <c r="O268" s="17"/>
      <c r="P268" s="17"/>
      <c r="Q268" s="17"/>
      <c r="R268" s="17"/>
      <c r="S268" s="17"/>
      <c r="T268" s="16"/>
      <c r="U268" s="80"/>
      <c r="V268" s="81">
        <f t="shared" si="39"/>
        <v>152079.03749999998</v>
      </c>
      <c r="W268" s="81">
        <f t="shared" si="40"/>
        <v>2219803.0520999995</v>
      </c>
    </row>
    <row r="269" spans="1:23" s="1" customFormat="1" ht="29.25" customHeight="1">
      <c r="A269" s="106">
        <v>15</v>
      </c>
      <c r="B269" s="86" t="s">
        <v>158</v>
      </c>
      <c r="C269" s="152">
        <v>2332</v>
      </c>
      <c r="D269" s="83">
        <v>2</v>
      </c>
      <c r="E269" s="104">
        <v>5265</v>
      </c>
      <c r="F269" s="114" t="s">
        <v>54</v>
      </c>
      <c r="G269" s="105">
        <f t="shared" si="36"/>
        <v>10530</v>
      </c>
      <c r="H269" s="105">
        <f t="shared" si="37"/>
        <v>1053</v>
      </c>
      <c r="I269" s="16"/>
      <c r="J269" s="17"/>
      <c r="K269" s="85"/>
      <c r="L269" s="78"/>
      <c r="M269" s="78">
        <f>579.15+1158.3</f>
        <v>1737.4499999999998</v>
      </c>
      <c r="N269" s="78">
        <f>(G269+H269+I269+K269+L269)*10%</f>
        <v>1158.3</v>
      </c>
      <c r="O269" s="85"/>
      <c r="P269" s="85"/>
      <c r="Q269" s="85"/>
      <c r="R269" s="85"/>
      <c r="S269" s="85"/>
      <c r="T269" s="78"/>
      <c r="U269" s="80"/>
      <c r="V269" s="81">
        <f t="shared" si="39"/>
        <v>14478.75</v>
      </c>
      <c r="W269" s="81">
        <f t="shared" si="40"/>
        <v>213990.65999999997</v>
      </c>
    </row>
    <row r="270" spans="1:23" s="1" customFormat="1" ht="28.5" customHeight="1">
      <c r="A270" s="106">
        <v>16</v>
      </c>
      <c r="B270" s="179" t="s">
        <v>136</v>
      </c>
      <c r="C270" s="173">
        <v>3330</v>
      </c>
      <c r="D270" s="152">
        <v>1</v>
      </c>
      <c r="E270" s="104">
        <v>5699</v>
      </c>
      <c r="F270" s="114" t="s">
        <v>53</v>
      </c>
      <c r="G270" s="105">
        <f t="shared" si="36"/>
        <v>5699</v>
      </c>
      <c r="H270" s="105">
        <f t="shared" si="37"/>
        <v>569.9</v>
      </c>
      <c r="I270" s="78"/>
      <c r="J270" s="85"/>
      <c r="K270" s="118">
        <f>G270*20%</f>
        <v>1139.8</v>
      </c>
      <c r="L270" s="119">
        <v>854.85</v>
      </c>
      <c r="M270" s="119">
        <v>2479.07</v>
      </c>
      <c r="N270" s="119">
        <v>826.36</v>
      </c>
      <c r="O270" s="85"/>
      <c r="P270" s="85"/>
      <c r="Q270" s="85"/>
      <c r="R270" s="85"/>
      <c r="S270" s="85"/>
      <c r="T270" s="78"/>
      <c r="U270" s="80"/>
      <c r="V270" s="81">
        <f t="shared" si="39"/>
        <v>11568.98</v>
      </c>
      <c r="W270" s="81">
        <f t="shared" si="40"/>
        <v>168134.77368</v>
      </c>
    </row>
    <row r="271" spans="1:25" s="1" customFormat="1" ht="30" customHeight="1">
      <c r="A271" s="106">
        <v>17</v>
      </c>
      <c r="B271" s="179" t="s">
        <v>136</v>
      </c>
      <c r="C271" s="173">
        <v>3330</v>
      </c>
      <c r="D271" s="152">
        <v>2</v>
      </c>
      <c r="E271" s="104">
        <v>5265</v>
      </c>
      <c r="F271" s="114" t="s">
        <v>54</v>
      </c>
      <c r="G271" s="105">
        <f t="shared" si="36"/>
        <v>10530</v>
      </c>
      <c r="H271" s="105">
        <f t="shared" si="37"/>
        <v>1053</v>
      </c>
      <c r="I271" s="16"/>
      <c r="J271" s="17"/>
      <c r="K271" s="118">
        <f>G271*20%</f>
        <v>2106</v>
      </c>
      <c r="L271" s="186"/>
      <c r="M271" s="119">
        <f>631.8+2053.35</f>
        <v>2685.1499999999996</v>
      </c>
      <c r="N271" s="119">
        <v>1316.25</v>
      </c>
      <c r="O271" s="17"/>
      <c r="P271" s="17"/>
      <c r="Q271" s="17"/>
      <c r="R271" s="17"/>
      <c r="S271" s="17"/>
      <c r="T271" s="16"/>
      <c r="U271" s="80"/>
      <c r="V271" s="81">
        <f t="shared" si="39"/>
        <v>17690.4</v>
      </c>
      <c r="W271" s="81">
        <f t="shared" si="40"/>
        <v>259005.1464</v>
      </c>
      <c r="X271" s="116"/>
      <c r="Y271" s="116"/>
    </row>
    <row r="272" spans="1:24" s="1" customFormat="1" ht="34.5" customHeight="1">
      <c r="A272" s="106">
        <v>18</v>
      </c>
      <c r="B272" s="86" t="s">
        <v>25</v>
      </c>
      <c r="C272" s="152">
        <v>5132</v>
      </c>
      <c r="D272" s="152">
        <v>10</v>
      </c>
      <c r="E272" s="104">
        <v>4195</v>
      </c>
      <c r="F272" s="104">
        <v>6</v>
      </c>
      <c r="G272" s="105">
        <f t="shared" si="36"/>
        <v>41950</v>
      </c>
      <c r="H272" s="105"/>
      <c r="I272" s="85"/>
      <c r="J272" s="85"/>
      <c r="K272" s="118">
        <f>3.5*E272*20%</f>
        <v>2936.5</v>
      </c>
      <c r="L272" s="85"/>
      <c r="M272" s="85"/>
      <c r="N272" s="85"/>
      <c r="O272" s="85"/>
      <c r="P272" s="85"/>
      <c r="Q272" s="85"/>
      <c r="R272" s="85"/>
      <c r="S272" s="85"/>
      <c r="T272" s="85"/>
      <c r="U272" s="80">
        <f>6700*D272-G272-H272-I272-J272-K272-L272-M272-N272</f>
        <v>22113.5</v>
      </c>
      <c r="V272" s="81">
        <f t="shared" si="39"/>
        <v>67000</v>
      </c>
      <c r="W272" s="81">
        <f>V272*12*1.168+G272</f>
        <v>981021.9999999999</v>
      </c>
      <c r="X272" s="116"/>
    </row>
    <row r="273" spans="1:25" s="1" customFormat="1" ht="36" customHeight="1">
      <c r="A273" s="106">
        <v>19</v>
      </c>
      <c r="B273" s="86" t="s">
        <v>17</v>
      </c>
      <c r="C273" s="152">
        <v>5132</v>
      </c>
      <c r="D273" s="83">
        <v>4</v>
      </c>
      <c r="E273" s="104">
        <v>4195</v>
      </c>
      <c r="F273" s="104">
        <v>6</v>
      </c>
      <c r="G273" s="105">
        <f t="shared" si="36"/>
        <v>16780</v>
      </c>
      <c r="H273" s="10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0">
        <f aca="true" t="shared" si="41" ref="U273:U284">6700*D273-G273-H273-I273-J273-K273-L273-M273-N273</f>
        <v>10020</v>
      </c>
      <c r="V273" s="81">
        <f t="shared" si="39"/>
        <v>26800</v>
      </c>
      <c r="W273" s="81">
        <f aca="true" t="shared" si="42" ref="W273:W284">V273*12*1.168+G273</f>
        <v>392408.8</v>
      </c>
      <c r="Y273" s="116"/>
    </row>
    <row r="274" spans="1:23" s="1" customFormat="1" ht="21" customHeight="1">
      <c r="A274" s="106">
        <v>20</v>
      </c>
      <c r="B274" s="84" t="s">
        <v>122</v>
      </c>
      <c r="C274" s="83">
        <v>1239</v>
      </c>
      <c r="D274" s="83">
        <v>1</v>
      </c>
      <c r="E274" s="104">
        <v>4745</v>
      </c>
      <c r="F274" s="104">
        <v>8</v>
      </c>
      <c r="G274" s="105">
        <f t="shared" si="36"/>
        <v>4745</v>
      </c>
      <c r="H274" s="105"/>
      <c r="I274" s="85"/>
      <c r="J274" s="85">
        <f>G274*50%</f>
        <v>2372.5</v>
      </c>
      <c r="K274" s="85">
        <f>E274*15%</f>
        <v>711.75</v>
      </c>
      <c r="L274" s="85"/>
      <c r="M274" s="85"/>
      <c r="N274" s="85"/>
      <c r="O274" s="85"/>
      <c r="P274" s="85"/>
      <c r="Q274" s="85"/>
      <c r="R274" s="85"/>
      <c r="S274" s="85"/>
      <c r="T274" s="85"/>
      <c r="U274" s="80"/>
      <c r="V274" s="81">
        <f t="shared" si="39"/>
        <v>7829.25</v>
      </c>
      <c r="W274" s="81">
        <f t="shared" si="42"/>
        <v>114479.768</v>
      </c>
    </row>
    <row r="275" spans="1:23" s="1" customFormat="1" ht="13.5">
      <c r="A275" s="106">
        <v>21</v>
      </c>
      <c r="B275" s="84" t="s">
        <v>78</v>
      </c>
      <c r="C275" s="83">
        <v>3570</v>
      </c>
      <c r="D275" s="83">
        <v>1</v>
      </c>
      <c r="E275" s="104">
        <v>4195</v>
      </c>
      <c r="F275" s="104">
        <v>6</v>
      </c>
      <c r="G275" s="105">
        <f t="shared" si="36"/>
        <v>4195</v>
      </c>
      <c r="H275" s="105"/>
      <c r="I275" s="85"/>
      <c r="J275" s="85"/>
      <c r="K275" s="85"/>
      <c r="L275" s="85"/>
      <c r="M275" s="85"/>
      <c r="N275" s="85"/>
      <c r="O275" s="85"/>
      <c r="P275" s="85"/>
      <c r="Q275" s="85">
        <f>G275*12%</f>
        <v>503.4</v>
      </c>
      <c r="R275" s="85"/>
      <c r="S275" s="85"/>
      <c r="T275" s="85"/>
      <c r="U275" s="80">
        <f t="shared" si="41"/>
        <v>2505</v>
      </c>
      <c r="V275" s="81">
        <f t="shared" si="39"/>
        <v>7203.4</v>
      </c>
      <c r="W275" s="81">
        <f t="shared" si="42"/>
        <v>105157.85439999998</v>
      </c>
    </row>
    <row r="276" spans="1:23" s="1" customFormat="1" ht="13.5">
      <c r="A276" s="106">
        <v>22</v>
      </c>
      <c r="B276" s="84" t="s">
        <v>8</v>
      </c>
      <c r="C276" s="83">
        <v>5122</v>
      </c>
      <c r="D276" s="83">
        <v>2</v>
      </c>
      <c r="E276" s="104">
        <v>3934</v>
      </c>
      <c r="F276" s="104">
        <v>5</v>
      </c>
      <c r="G276" s="105">
        <f t="shared" si="36"/>
        <v>7868</v>
      </c>
      <c r="H276" s="105"/>
      <c r="I276" s="85"/>
      <c r="J276" s="85"/>
      <c r="K276" s="85"/>
      <c r="L276" s="85"/>
      <c r="M276" s="85"/>
      <c r="N276" s="85"/>
      <c r="O276" s="85"/>
      <c r="P276" s="85"/>
      <c r="Q276" s="85">
        <f>G276*12%</f>
        <v>944.16</v>
      </c>
      <c r="R276" s="85"/>
      <c r="S276" s="85"/>
      <c r="T276" s="85"/>
      <c r="U276" s="80">
        <f t="shared" si="41"/>
        <v>5532</v>
      </c>
      <c r="V276" s="81">
        <f t="shared" si="39"/>
        <v>14344.16</v>
      </c>
      <c r="W276" s="81">
        <f t="shared" si="42"/>
        <v>208915.74655999997</v>
      </c>
    </row>
    <row r="277" spans="1:29" s="1" customFormat="1" ht="18" customHeight="1">
      <c r="A277" s="106">
        <v>23</v>
      </c>
      <c r="B277" s="178" t="s">
        <v>128</v>
      </c>
      <c r="C277" s="163">
        <v>9132</v>
      </c>
      <c r="D277" s="152">
        <v>2</v>
      </c>
      <c r="E277" s="104">
        <v>2893</v>
      </c>
      <c r="F277" s="104">
        <v>1</v>
      </c>
      <c r="G277" s="105">
        <f t="shared" si="36"/>
        <v>5786</v>
      </c>
      <c r="H277" s="105"/>
      <c r="I277" s="85"/>
      <c r="J277" s="85"/>
      <c r="K277" s="85"/>
      <c r="L277" s="85"/>
      <c r="M277" s="85"/>
      <c r="N277" s="85"/>
      <c r="O277" s="85"/>
      <c r="P277" s="85"/>
      <c r="Q277" s="118">
        <f>G277*12%</f>
        <v>694.3199999999999</v>
      </c>
      <c r="R277" s="85"/>
      <c r="S277" s="85"/>
      <c r="T277" s="85"/>
      <c r="U277" s="80">
        <f t="shared" si="41"/>
        <v>7614</v>
      </c>
      <c r="V277" s="81">
        <f t="shared" si="39"/>
        <v>14094.32</v>
      </c>
      <c r="W277" s="81">
        <f t="shared" si="42"/>
        <v>203331.98911999998</v>
      </c>
      <c r="AC277" s="116"/>
    </row>
    <row r="278" spans="1:23" s="1" customFormat="1" ht="13.5">
      <c r="A278" s="106">
        <v>24</v>
      </c>
      <c r="B278" s="84" t="s">
        <v>12</v>
      </c>
      <c r="C278" s="83">
        <v>4132</v>
      </c>
      <c r="D278" s="83">
        <v>1</v>
      </c>
      <c r="E278" s="104">
        <v>3153</v>
      </c>
      <c r="F278" s="104">
        <v>2</v>
      </c>
      <c r="G278" s="105">
        <f t="shared" si="36"/>
        <v>3153</v>
      </c>
      <c r="H278" s="10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0">
        <f t="shared" si="41"/>
        <v>3547</v>
      </c>
      <c r="V278" s="81">
        <f t="shared" si="39"/>
        <v>6700</v>
      </c>
      <c r="W278" s="81">
        <f t="shared" si="42"/>
        <v>97060.2</v>
      </c>
    </row>
    <row r="279" spans="1:23" s="1" customFormat="1" ht="13.5" hidden="1">
      <c r="A279" s="106"/>
      <c r="B279" s="84"/>
      <c r="C279" s="83"/>
      <c r="D279" s="83"/>
      <c r="E279" s="104"/>
      <c r="F279" s="104"/>
      <c r="G279" s="105">
        <f t="shared" si="36"/>
        <v>0</v>
      </c>
      <c r="H279" s="105"/>
      <c r="I279" s="85"/>
      <c r="J279" s="85"/>
      <c r="K279" s="85"/>
      <c r="L279" s="85"/>
      <c r="M279" s="85"/>
      <c r="N279" s="85"/>
      <c r="O279" s="85"/>
      <c r="P279" s="85"/>
      <c r="Q279" s="85">
        <f>G279*12%</f>
        <v>0</v>
      </c>
      <c r="R279" s="85"/>
      <c r="S279" s="85"/>
      <c r="T279" s="85"/>
      <c r="U279" s="80">
        <f t="shared" si="41"/>
        <v>0</v>
      </c>
      <c r="V279" s="81">
        <f t="shared" si="39"/>
        <v>0</v>
      </c>
      <c r="W279" s="81">
        <f t="shared" si="42"/>
        <v>0</v>
      </c>
    </row>
    <row r="280" spans="1:23" s="1" customFormat="1" ht="34.5" customHeight="1">
      <c r="A280" s="106">
        <v>25</v>
      </c>
      <c r="B280" s="86" t="s">
        <v>24</v>
      </c>
      <c r="C280" s="152">
        <v>8264</v>
      </c>
      <c r="D280" s="83">
        <v>1</v>
      </c>
      <c r="E280" s="104">
        <v>3153</v>
      </c>
      <c r="F280" s="104">
        <v>2</v>
      </c>
      <c r="G280" s="105">
        <f t="shared" si="36"/>
        <v>3153</v>
      </c>
      <c r="H280" s="105"/>
      <c r="I280" s="85"/>
      <c r="J280" s="85"/>
      <c r="K280" s="85"/>
      <c r="L280" s="85"/>
      <c r="M280" s="85"/>
      <c r="N280" s="85"/>
      <c r="O280" s="85"/>
      <c r="P280" s="85"/>
      <c r="Q280" s="85">
        <f>G280*12%</f>
        <v>378.36</v>
      </c>
      <c r="R280" s="85"/>
      <c r="S280" s="85"/>
      <c r="T280" s="85"/>
      <c r="U280" s="80">
        <f t="shared" si="41"/>
        <v>3547</v>
      </c>
      <c r="V280" s="81">
        <f t="shared" si="39"/>
        <v>7078.360000000001</v>
      </c>
      <c r="W280" s="81">
        <f t="shared" si="42"/>
        <v>102363.29376</v>
      </c>
    </row>
    <row r="281" spans="1:23" s="1" customFormat="1" ht="42" customHeight="1">
      <c r="A281" s="106">
        <v>26</v>
      </c>
      <c r="B281" s="86" t="s">
        <v>142</v>
      </c>
      <c r="C281" s="152">
        <v>7129</v>
      </c>
      <c r="D281" s="83">
        <v>1</v>
      </c>
      <c r="E281" s="104">
        <v>3674</v>
      </c>
      <c r="F281" s="104">
        <v>4</v>
      </c>
      <c r="G281" s="105">
        <f t="shared" si="36"/>
        <v>3674</v>
      </c>
      <c r="H281" s="10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0">
        <f t="shared" si="41"/>
        <v>3026</v>
      </c>
      <c r="V281" s="81">
        <f t="shared" si="39"/>
        <v>6700</v>
      </c>
      <c r="W281" s="81">
        <f t="shared" si="42"/>
        <v>97581.2</v>
      </c>
    </row>
    <row r="282" spans="1:23" s="1" customFormat="1" ht="13.5">
      <c r="A282" s="106">
        <v>27</v>
      </c>
      <c r="B282" s="84" t="s">
        <v>10</v>
      </c>
      <c r="C282" s="83">
        <v>9152</v>
      </c>
      <c r="D282" s="83">
        <v>2</v>
      </c>
      <c r="E282" s="104">
        <v>3153</v>
      </c>
      <c r="F282" s="104">
        <v>2</v>
      </c>
      <c r="G282" s="105">
        <f t="shared" si="36"/>
        <v>6306</v>
      </c>
      <c r="H282" s="10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140">
        <f>G282*40%</f>
        <v>2522.4</v>
      </c>
      <c r="U282" s="80">
        <f t="shared" si="41"/>
        <v>7094</v>
      </c>
      <c r="V282" s="81">
        <f t="shared" si="39"/>
        <v>15922.4</v>
      </c>
      <c r="W282" s="81">
        <f t="shared" si="42"/>
        <v>229474.35839999997</v>
      </c>
    </row>
    <row r="283" spans="1:23" s="1" customFormat="1" ht="13.5">
      <c r="A283" s="106">
        <v>28</v>
      </c>
      <c r="B283" s="84" t="s">
        <v>9</v>
      </c>
      <c r="C283" s="83">
        <v>9162</v>
      </c>
      <c r="D283" s="83">
        <v>1</v>
      </c>
      <c r="E283" s="104">
        <v>2893</v>
      </c>
      <c r="F283" s="104">
        <v>1</v>
      </c>
      <c r="G283" s="105">
        <f t="shared" si="36"/>
        <v>2893</v>
      </c>
      <c r="H283" s="10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140"/>
      <c r="U283" s="80">
        <f t="shared" si="41"/>
        <v>3807</v>
      </c>
      <c r="V283" s="81">
        <f t="shared" si="39"/>
        <v>6700</v>
      </c>
      <c r="W283" s="81">
        <f t="shared" si="42"/>
        <v>96800.2</v>
      </c>
    </row>
    <row r="284" spans="1:24" s="1" customFormat="1" ht="13.5">
      <c r="A284" s="106">
        <v>29</v>
      </c>
      <c r="B284" s="144" t="s">
        <v>79</v>
      </c>
      <c r="C284" s="174">
        <v>9132</v>
      </c>
      <c r="D284" s="83">
        <v>1</v>
      </c>
      <c r="E284" s="104">
        <v>3153</v>
      </c>
      <c r="F284" s="104">
        <v>2</v>
      </c>
      <c r="G284" s="105">
        <f t="shared" si="36"/>
        <v>3153</v>
      </c>
      <c r="H284" s="105"/>
      <c r="I284" s="85"/>
      <c r="J284" s="85"/>
      <c r="K284" s="85"/>
      <c r="L284" s="85"/>
      <c r="M284" s="145"/>
      <c r="N284" s="85"/>
      <c r="O284" s="85">
        <f>G284*10%</f>
        <v>315.3</v>
      </c>
      <c r="P284" s="85"/>
      <c r="Q284" s="85"/>
      <c r="R284" s="85"/>
      <c r="S284" s="85"/>
      <c r="T284" s="140"/>
      <c r="U284" s="80">
        <f t="shared" si="41"/>
        <v>3547</v>
      </c>
      <c r="V284" s="81">
        <f t="shared" si="39"/>
        <v>7015.3</v>
      </c>
      <c r="W284" s="81">
        <f t="shared" si="42"/>
        <v>101479.4448</v>
      </c>
      <c r="X284" s="3"/>
    </row>
    <row r="285" spans="1:29" s="1" customFormat="1" ht="13.5">
      <c r="A285" s="84"/>
      <c r="B285" s="84" t="s">
        <v>6</v>
      </c>
      <c r="C285" s="83"/>
      <c r="D285" s="91">
        <f>D250+D251+D252+D253+D254+D255+D256+D258+D259+D260+D262+D265+D267+D268+D269+D270+D271+D272+D273+D274+D275+D276+D277+D278+D280+D281+D282+D283+D284</f>
        <v>67.25</v>
      </c>
      <c r="E285" s="91"/>
      <c r="F285" s="91"/>
      <c r="G285" s="91">
        <f>G250+G251+G252+G253+G254+G255+G256+G258+G259+G260+G262+G265+G267+G268+G269+G270+G271+G272+G273+G274+G275+G276+G277+G278+G280+G281+G282+G283+G284</f>
        <v>340665.75</v>
      </c>
      <c r="H285" s="91">
        <f aca="true" t="shared" si="43" ref="H285:W285">H250+H251+H252+H253+H254+H255+H256+H258+H259+H260+H262+H265+H267+H268+H269+H270+H271+H272+H273+H274+H275+H276+H277+H278+H280+H281+H282+H283+H284</f>
        <v>23071.725</v>
      </c>
      <c r="I285" s="91">
        <f t="shared" si="43"/>
        <v>242.13</v>
      </c>
      <c r="J285" s="91">
        <f t="shared" si="43"/>
        <v>2372.5</v>
      </c>
      <c r="K285" s="91">
        <f t="shared" si="43"/>
        <v>35781.225</v>
      </c>
      <c r="L285" s="91">
        <f t="shared" si="43"/>
        <v>9664.15</v>
      </c>
      <c r="M285" s="91">
        <f t="shared" si="43"/>
        <v>76232.0765</v>
      </c>
      <c r="N285" s="91">
        <f t="shared" si="43"/>
        <v>29467.253</v>
      </c>
      <c r="O285" s="91">
        <f t="shared" si="43"/>
        <v>315.3</v>
      </c>
      <c r="P285" s="91">
        <f t="shared" si="43"/>
        <v>0</v>
      </c>
      <c r="Q285" s="91">
        <f t="shared" si="43"/>
        <v>2520.2400000000002</v>
      </c>
      <c r="R285" s="91">
        <f t="shared" si="43"/>
        <v>0</v>
      </c>
      <c r="S285" s="91">
        <f t="shared" si="43"/>
        <v>0</v>
      </c>
      <c r="T285" s="91">
        <f t="shared" si="43"/>
        <v>2522.4</v>
      </c>
      <c r="U285" s="91">
        <f t="shared" si="43"/>
        <v>73404.23</v>
      </c>
      <c r="V285" s="91">
        <f>V250+V251+V252+V253+V254+V255+V256+V258+V259+V260+V262+V265+V267+V268+V269+V270+V271+V272+V273+V274+V275+V276+V277+V278+V280+V281+V282+V283+V284</f>
        <v>596258.9795</v>
      </c>
      <c r="W285" s="91">
        <f t="shared" si="43"/>
        <v>8709682.094171999</v>
      </c>
      <c r="X285" s="3"/>
      <c r="AC285" s="116"/>
    </row>
    <row r="286" spans="1:23" ht="15" customHeight="1">
      <c r="A286" s="6"/>
      <c r="B286" s="6"/>
      <c r="C286" s="16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27"/>
      <c r="V286" s="27"/>
      <c r="W286" s="6"/>
    </row>
    <row r="287" spans="1:23" ht="16.5" customHeight="1" hidden="1">
      <c r="A287" s="6"/>
      <c r="B287" s="6"/>
      <c r="C287" s="16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6.5" customHeight="1" hidden="1">
      <c r="A288" s="6"/>
      <c r="B288" s="6"/>
      <c r="C288" s="166"/>
      <c r="D288" s="6"/>
      <c r="E288" s="6"/>
      <c r="F288" s="6"/>
      <c r="G288" s="6"/>
      <c r="H288" s="6"/>
      <c r="I288" s="6"/>
      <c r="J288" s="6"/>
      <c r="K288" s="6"/>
      <c r="L288" s="6"/>
      <c r="M288" s="27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3.5" hidden="1">
      <c r="A289" s="6"/>
      <c r="B289" s="6"/>
      <c r="C289" s="16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1" ht="14.25" customHeight="1">
      <c r="A290" s="6"/>
      <c r="B290" s="6"/>
      <c r="C290" s="166"/>
      <c r="D290" s="39"/>
      <c r="E290" s="39"/>
      <c r="F290" s="194" t="s">
        <v>169</v>
      </c>
      <c r="G290" s="112"/>
      <c r="H290" s="112"/>
      <c r="I290" s="112"/>
      <c r="J290" s="112"/>
      <c r="K290" s="112"/>
      <c r="L290" s="112"/>
      <c r="M290" s="113"/>
      <c r="N290" s="3"/>
      <c r="O290" s="3"/>
      <c r="P290" s="3" t="s">
        <v>170</v>
      </c>
      <c r="Q290" s="113"/>
      <c r="R290" s="6"/>
      <c r="S290" s="6"/>
      <c r="T290" s="6"/>
      <c r="U290" s="28"/>
    </row>
    <row r="291" spans="1:23" ht="15">
      <c r="A291" s="31"/>
      <c r="B291" s="93"/>
      <c r="C291" s="802"/>
      <c r="D291" s="802"/>
      <c r="E291" s="802"/>
      <c r="F291" s="802"/>
      <c r="G291" s="802"/>
      <c r="H291" s="802"/>
      <c r="I291" s="802"/>
      <c r="J291" s="802"/>
      <c r="K291" s="802"/>
      <c r="L291" s="94"/>
      <c r="M291" s="94"/>
      <c r="N291" s="94"/>
      <c r="O291" s="94"/>
      <c r="P291" s="94"/>
      <c r="Q291" s="94"/>
      <c r="R291" s="82"/>
      <c r="S291" s="82"/>
      <c r="T291" s="33"/>
      <c r="U291" s="33"/>
      <c r="V291" s="33"/>
      <c r="W291" s="33"/>
    </row>
    <row r="292" spans="1:23" ht="15">
      <c r="A292" s="31"/>
      <c r="B292" s="93"/>
      <c r="C292" s="802" t="s">
        <v>168</v>
      </c>
      <c r="D292" s="802"/>
      <c r="E292" s="802"/>
      <c r="F292" s="802"/>
      <c r="G292" s="802"/>
      <c r="H292" s="802"/>
      <c r="I292" s="802"/>
      <c r="J292" s="802"/>
      <c r="K292" s="802"/>
      <c r="L292" s="94"/>
      <c r="M292" s="94"/>
      <c r="N292" s="94"/>
      <c r="O292" s="94"/>
      <c r="P292" s="94" t="s">
        <v>167</v>
      </c>
      <c r="Q292" s="94"/>
      <c r="R292" s="82"/>
      <c r="S292" s="82"/>
      <c r="T292" s="33"/>
      <c r="U292" s="33"/>
      <c r="V292" s="33"/>
      <c r="W292" s="33"/>
    </row>
    <row r="293" spans="1:23" ht="20.25" customHeight="1">
      <c r="A293" s="154"/>
      <c r="B293" s="6"/>
      <c r="C293" s="166"/>
      <c r="D293" s="6"/>
      <c r="E293" s="6"/>
      <c r="F293" s="155"/>
      <c r="G293" s="155"/>
      <c r="H293" s="155"/>
      <c r="I293" s="6"/>
      <c r="J293" s="29"/>
      <c r="K293" s="6"/>
      <c r="L293" s="6"/>
      <c r="M293" s="6"/>
      <c r="N293" s="6"/>
      <c r="O293" s="6"/>
      <c r="P293" s="6"/>
      <c r="Q293" s="1" t="s">
        <v>102</v>
      </c>
      <c r="R293" s="156">
        <v>7</v>
      </c>
      <c r="S293" s="157"/>
      <c r="T293" s="3"/>
      <c r="U293" s="121"/>
      <c r="V293" s="1"/>
      <c r="W293" s="30"/>
    </row>
    <row r="294" spans="1:24" ht="22.5" customHeight="1">
      <c r="A294" s="154"/>
      <c r="B294" s="6"/>
      <c r="C294" s="166"/>
      <c r="D294" s="6"/>
      <c r="E294" s="6"/>
      <c r="F294" s="155"/>
      <c r="G294" s="155"/>
      <c r="H294" s="155"/>
      <c r="I294" s="6"/>
      <c r="J294" s="29"/>
      <c r="K294" s="6"/>
      <c r="L294" s="6"/>
      <c r="M294" s="6"/>
      <c r="N294" s="6"/>
      <c r="O294" s="6"/>
      <c r="P294" s="6"/>
      <c r="Q294" s="806" t="s">
        <v>103</v>
      </c>
      <c r="R294" s="806"/>
      <c r="S294" s="806"/>
      <c r="T294" s="806"/>
      <c r="U294" s="806"/>
      <c r="V294" s="806"/>
      <c r="W294" s="806"/>
      <c r="X294" s="7"/>
    </row>
    <row r="295" spans="1:23" ht="20.25" customHeight="1">
      <c r="A295" s="154"/>
      <c r="B295" s="6"/>
      <c r="C295" s="166"/>
      <c r="D295" s="6"/>
      <c r="E295" s="6"/>
      <c r="F295" s="155"/>
      <c r="G295" s="155"/>
      <c r="H295" s="155"/>
      <c r="I295" s="6"/>
      <c r="J295" s="29"/>
      <c r="K295" s="6"/>
      <c r="L295" s="6"/>
      <c r="M295" s="6"/>
      <c r="N295" s="6"/>
      <c r="O295" s="6"/>
      <c r="P295" s="6"/>
      <c r="Q295" s="807" t="s">
        <v>104</v>
      </c>
      <c r="R295" s="807"/>
      <c r="S295" s="807"/>
      <c r="T295" s="153" t="s">
        <v>0</v>
      </c>
      <c r="U295" s="159"/>
      <c r="V295" s="153"/>
      <c r="W295" s="8"/>
    </row>
    <row r="296" spans="1:24" ht="48" customHeight="1">
      <c r="A296" s="154"/>
      <c r="B296" s="6"/>
      <c r="C296" s="166"/>
      <c r="D296" s="6"/>
      <c r="E296" s="6"/>
      <c r="F296" s="155"/>
      <c r="G296" s="155"/>
      <c r="H296" s="155"/>
      <c r="I296" s="6"/>
      <c r="J296" s="29"/>
      <c r="K296" s="6"/>
      <c r="L296" s="6"/>
      <c r="M296" s="6"/>
      <c r="N296" s="6"/>
      <c r="O296" s="6"/>
      <c r="P296" s="6"/>
      <c r="Q296" s="808" t="s">
        <v>157</v>
      </c>
      <c r="R296" s="808"/>
      <c r="S296" s="808"/>
      <c r="T296" s="808"/>
      <c r="U296" s="808"/>
      <c r="V296" s="808"/>
      <c r="W296" s="8"/>
      <c r="X296" s="8"/>
    </row>
    <row r="297" spans="1:29" ht="15" customHeight="1">
      <c r="A297" s="6"/>
      <c r="B297" s="803"/>
      <c r="C297" s="803"/>
      <c r="D297" s="80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95"/>
      <c r="P297" s="95"/>
      <c r="Q297" s="95"/>
      <c r="R297" s="95"/>
      <c r="S297" s="96"/>
      <c r="T297" s="1"/>
      <c r="U297" s="50"/>
      <c r="V297" s="182"/>
      <c r="W297" s="50"/>
      <c r="X297" s="32"/>
      <c r="Y297" s="32"/>
      <c r="Z297" s="32"/>
      <c r="AA297" s="32"/>
      <c r="AB297" s="32"/>
      <c r="AC297" s="32"/>
    </row>
    <row r="298" spans="1:29" ht="15.75" customHeight="1" hidden="1">
      <c r="A298" s="6"/>
      <c r="B298" s="803"/>
      <c r="C298" s="803"/>
      <c r="D298" s="803"/>
      <c r="E298" s="803"/>
      <c r="F298" s="6"/>
      <c r="G298" s="6"/>
      <c r="H298" s="6"/>
      <c r="I298" s="6"/>
      <c r="J298" s="6"/>
      <c r="K298" s="6"/>
      <c r="L298" s="6"/>
      <c r="M298" s="6"/>
      <c r="N298" s="6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</row>
    <row r="299" spans="1:29" ht="19.5" customHeight="1" hidden="1">
      <c r="A299" s="6"/>
      <c r="B299" s="51"/>
      <c r="C299" s="169"/>
      <c r="D299" s="51"/>
      <c r="E299" s="6"/>
      <c r="F299" s="6"/>
      <c r="G299" s="6"/>
      <c r="H299" s="6"/>
      <c r="I299" s="6"/>
      <c r="J299" s="6"/>
      <c r="K299" s="6"/>
      <c r="L299" s="6"/>
      <c r="M299" s="6"/>
      <c r="N299" s="6"/>
      <c r="S299" s="32"/>
      <c r="T299" s="62"/>
      <c r="U299" s="63"/>
      <c r="V299" s="52"/>
      <c r="W299" s="32"/>
      <c r="X299" s="32"/>
      <c r="Y299" s="32"/>
      <c r="Z299" s="32"/>
      <c r="AA299" s="32"/>
      <c r="AB299" s="32"/>
      <c r="AC299" s="32"/>
    </row>
    <row r="300" spans="1:23" ht="17.25">
      <c r="A300" s="6"/>
      <c r="B300" s="805" t="s">
        <v>164</v>
      </c>
      <c r="C300" s="805"/>
      <c r="D300" s="805"/>
      <c r="E300" s="805"/>
      <c r="F300" s="805"/>
      <c r="G300" s="805"/>
      <c r="H300" s="805"/>
      <c r="I300" s="805"/>
      <c r="J300" s="805"/>
      <c r="K300" s="805"/>
      <c r="L300" s="805"/>
      <c r="M300" s="805"/>
      <c r="N300" s="805"/>
      <c r="O300" s="113"/>
      <c r="P300" s="113"/>
      <c r="Q300" s="113"/>
      <c r="R300" s="113"/>
      <c r="S300" s="113"/>
      <c r="T300" s="113"/>
      <c r="U300" s="113"/>
      <c r="V300" s="113"/>
      <c r="W300" s="31"/>
    </row>
    <row r="301" spans="1:23" ht="14.25" customHeight="1" hidden="1">
      <c r="A301" s="6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822"/>
      <c r="P301" s="822"/>
      <c r="Q301" s="822"/>
      <c r="R301" s="822"/>
      <c r="S301" s="822"/>
      <c r="T301" s="822"/>
      <c r="U301" s="822"/>
      <c r="V301" s="822"/>
      <c r="W301" s="31"/>
    </row>
    <row r="302" spans="1:23" ht="17.25" customHeight="1">
      <c r="A302" s="6"/>
      <c r="B302" s="804" t="s">
        <v>98</v>
      </c>
      <c r="C302" s="804"/>
      <c r="D302" s="804"/>
      <c r="E302" s="804"/>
      <c r="F302" s="804"/>
      <c r="G302" s="804"/>
      <c r="H302" s="804"/>
      <c r="I302" s="804"/>
      <c r="J302" s="804"/>
      <c r="K302" s="804"/>
      <c r="L302" s="804"/>
      <c r="M302" s="804"/>
      <c r="N302" s="804"/>
      <c r="O302" s="804"/>
      <c r="P302" s="804"/>
      <c r="Q302" s="804"/>
      <c r="R302" s="804"/>
      <c r="S302" s="804"/>
      <c r="T302" s="804"/>
      <c r="U302" s="3"/>
      <c r="V302" s="3"/>
      <c r="W302" s="6"/>
    </row>
    <row r="303" spans="1:23" ht="13.5">
      <c r="A303" s="6"/>
      <c r="B303" s="844" t="s">
        <v>7</v>
      </c>
      <c r="C303" s="844"/>
      <c r="D303" s="844"/>
      <c r="E303" s="844"/>
      <c r="F303" s="844"/>
      <c r="G303" s="844"/>
      <c r="H303" s="844"/>
      <c r="I303" s="844"/>
      <c r="J303" s="844"/>
      <c r="K303" s="844"/>
      <c r="L303" s="844"/>
      <c r="M303" s="844"/>
      <c r="N303" s="3"/>
      <c r="O303" s="3"/>
      <c r="P303" s="3"/>
      <c r="Q303" s="3"/>
      <c r="R303" s="3"/>
      <c r="S303" s="3"/>
      <c r="T303" s="3"/>
      <c r="U303" s="3"/>
      <c r="V303" s="3"/>
      <c r="W303" s="6"/>
    </row>
    <row r="304" spans="1:23" ht="13.5">
      <c r="A304" s="6"/>
      <c r="B304" s="3" t="s">
        <v>113</v>
      </c>
      <c r="C304" s="162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 spans="1:23" ht="13.5">
      <c r="A305" s="3"/>
      <c r="B305" s="3" t="s">
        <v>114</v>
      </c>
      <c r="C305" s="162"/>
      <c r="D305" s="1"/>
      <c r="E305" s="1"/>
      <c r="F305" s="1"/>
      <c r="G305" s="1"/>
      <c r="H305" s="3"/>
      <c r="I305" s="3"/>
      <c r="J305" s="3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>
      <c r="A306" s="823" t="s">
        <v>116</v>
      </c>
      <c r="B306" s="823"/>
      <c r="C306" s="823"/>
      <c r="D306" s="823"/>
      <c r="E306" s="823"/>
      <c r="F306" s="823"/>
      <c r="G306" s="823"/>
      <c r="H306" s="3" t="s">
        <v>115</v>
      </c>
      <c r="I306" s="3"/>
      <c r="J306" s="3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3.5" customHeight="1">
      <c r="A307" s="6"/>
      <c r="B307" s="3" t="s">
        <v>112</v>
      </c>
      <c r="C307" s="162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3.5" customHeight="1" hidden="1">
      <c r="A308" s="6"/>
      <c r="B308" s="6"/>
      <c r="C308" s="16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3.5" hidden="1">
      <c r="A309" s="6"/>
      <c r="B309" s="829"/>
      <c r="C309" s="829"/>
      <c r="D309" s="82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s="1" customFormat="1" ht="23.25" customHeight="1">
      <c r="A310" s="855" t="s">
        <v>0</v>
      </c>
      <c r="B310" s="66" t="s">
        <v>1</v>
      </c>
      <c r="C310" s="890" t="s">
        <v>117</v>
      </c>
      <c r="D310" s="67" t="s">
        <v>2</v>
      </c>
      <c r="E310" s="848" t="s">
        <v>34</v>
      </c>
      <c r="F310" s="848" t="s">
        <v>35</v>
      </c>
      <c r="G310" s="845" t="s">
        <v>38</v>
      </c>
      <c r="H310" s="845" t="s">
        <v>39</v>
      </c>
      <c r="I310" s="97" t="s">
        <v>80</v>
      </c>
      <c r="J310" s="98"/>
      <c r="K310" s="99"/>
      <c r="L310" s="146"/>
      <c r="M310" s="852" t="s">
        <v>19</v>
      </c>
      <c r="N310" s="853"/>
      <c r="O310" s="854"/>
      <c r="P310" s="101"/>
      <c r="Q310" s="101"/>
      <c r="R310" s="101"/>
      <c r="S310" s="101"/>
      <c r="T310" s="838" t="s">
        <v>81</v>
      </c>
      <c r="U310" s="849" t="s">
        <v>100</v>
      </c>
      <c r="V310" s="849" t="s">
        <v>82</v>
      </c>
      <c r="W310" s="826" t="s">
        <v>143</v>
      </c>
    </row>
    <row r="311" spans="1:23" s="1" customFormat="1" ht="12.75" customHeight="1">
      <c r="A311" s="856"/>
      <c r="B311" s="70" t="s">
        <v>18</v>
      </c>
      <c r="C311" s="891"/>
      <c r="D311" s="70" t="s">
        <v>3</v>
      </c>
      <c r="E311" s="848"/>
      <c r="F311" s="848"/>
      <c r="G311" s="846"/>
      <c r="H311" s="846"/>
      <c r="I311" s="811" t="s">
        <v>48</v>
      </c>
      <c r="J311" s="811" t="s">
        <v>83</v>
      </c>
      <c r="K311" s="811" t="s">
        <v>74</v>
      </c>
      <c r="L311" s="831" t="s">
        <v>30</v>
      </c>
      <c r="M311" s="811" t="s">
        <v>20</v>
      </c>
      <c r="N311" s="819" t="s">
        <v>41</v>
      </c>
      <c r="O311" s="811" t="s">
        <v>21</v>
      </c>
      <c r="P311" s="811"/>
      <c r="Q311" s="811" t="s">
        <v>22</v>
      </c>
      <c r="R311" s="834"/>
      <c r="S311" s="841"/>
      <c r="T311" s="839"/>
      <c r="U311" s="850"/>
      <c r="V311" s="850"/>
      <c r="W311" s="827"/>
    </row>
    <row r="312" spans="1:23" s="1" customFormat="1" ht="13.5">
      <c r="A312" s="856"/>
      <c r="B312" s="70"/>
      <c r="C312" s="891"/>
      <c r="D312" s="70" t="s">
        <v>4</v>
      </c>
      <c r="E312" s="848"/>
      <c r="F312" s="848"/>
      <c r="G312" s="846"/>
      <c r="H312" s="846"/>
      <c r="I312" s="812"/>
      <c r="J312" s="812"/>
      <c r="K312" s="812"/>
      <c r="L312" s="832"/>
      <c r="M312" s="812"/>
      <c r="N312" s="820"/>
      <c r="O312" s="812"/>
      <c r="P312" s="812"/>
      <c r="Q312" s="812"/>
      <c r="R312" s="812"/>
      <c r="S312" s="842"/>
      <c r="T312" s="839"/>
      <c r="U312" s="850"/>
      <c r="V312" s="850"/>
      <c r="W312" s="827"/>
    </row>
    <row r="313" spans="1:23" s="1" customFormat="1" ht="13.5">
      <c r="A313" s="69"/>
      <c r="B313" s="70"/>
      <c r="C313" s="891"/>
      <c r="D313" s="70"/>
      <c r="E313" s="848"/>
      <c r="F313" s="848"/>
      <c r="G313" s="846"/>
      <c r="H313" s="846"/>
      <c r="I313" s="812"/>
      <c r="J313" s="812"/>
      <c r="K313" s="812"/>
      <c r="L313" s="832"/>
      <c r="M313" s="812"/>
      <c r="N313" s="820"/>
      <c r="O313" s="812"/>
      <c r="P313" s="812"/>
      <c r="Q313" s="812"/>
      <c r="R313" s="812"/>
      <c r="S313" s="842"/>
      <c r="T313" s="839"/>
      <c r="U313" s="850"/>
      <c r="V313" s="850"/>
      <c r="W313" s="827"/>
    </row>
    <row r="314" spans="1:23" s="1" customFormat="1" ht="58.5" customHeight="1">
      <c r="A314" s="71"/>
      <c r="B314" s="72"/>
      <c r="C314" s="892"/>
      <c r="D314" s="73"/>
      <c r="E314" s="848"/>
      <c r="F314" s="848"/>
      <c r="G314" s="847"/>
      <c r="H314" s="847"/>
      <c r="I314" s="813"/>
      <c r="J314" s="813"/>
      <c r="K314" s="813"/>
      <c r="L314" s="833"/>
      <c r="M314" s="813"/>
      <c r="N314" s="821"/>
      <c r="O314" s="813"/>
      <c r="P314" s="813"/>
      <c r="Q314" s="813"/>
      <c r="R314" s="813"/>
      <c r="S314" s="843"/>
      <c r="T314" s="840"/>
      <c r="U314" s="851"/>
      <c r="V314" s="851"/>
      <c r="W314" s="828"/>
    </row>
    <row r="315" spans="1:23" s="1" customFormat="1" ht="21.75" customHeight="1">
      <c r="A315" s="74">
        <v>1</v>
      </c>
      <c r="B315" s="75" t="s">
        <v>52</v>
      </c>
      <c r="C315" s="74" t="s">
        <v>118</v>
      </c>
      <c r="D315" s="74">
        <v>1</v>
      </c>
      <c r="E315" s="103">
        <v>8071</v>
      </c>
      <c r="F315" s="104">
        <v>16</v>
      </c>
      <c r="G315" s="104">
        <f>E315*D315</f>
        <v>8071</v>
      </c>
      <c r="H315" s="105">
        <f>G315*10%</f>
        <v>807.1</v>
      </c>
      <c r="I315" s="78">
        <f>E315*3%</f>
        <v>242.13</v>
      </c>
      <c r="J315" s="78"/>
      <c r="K315" s="78">
        <f>(E315)*40%</f>
        <v>3228.4</v>
      </c>
      <c r="L315" s="78"/>
      <c r="M315" s="78"/>
      <c r="N315" s="78"/>
      <c r="O315" s="78"/>
      <c r="P315" s="78"/>
      <c r="Q315" s="78">
        <f>(E315+I315+K315+H315+L315)*30%</f>
        <v>3704.5889999999995</v>
      </c>
      <c r="R315" s="78"/>
      <c r="S315" s="78"/>
      <c r="T315" s="78">
        <f>(G315+H315+I315+K315+L315)*10%</f>
        <v>1234.863</v>
      </c>
      <c r="U315" s="80"/>
      <c r="V315" s="85">
        <f>G315+H315+I315+J315+K315+L315+M315+N315+O315+Q315+T315+U315</f>
        <v>17288.082</v>
      </c>
      <c r="W315" s="81">
        <f>V315*12*1.168+G315+G315*5%</f>
        <v>250784.30731199996</v>
      </c>
    </row>
    <row r="316" spans="1:23" s="1" customFormat="1" ht="13.5">
      <c r="A316" s="83">
        <v>2</v>
      </c>
      <c r="B316" s="84" t="s">
        <v>11</v>
      </c>
      <c r="C316" s="83" t="s">
        <v>119</v>
      </c>
      <c r="D316" s="83">
        <v>1</v>
      </c>
      <c r="E316" s="103">
        <v>5699</v>
      </c>
      <c r="F316" s="104">
        <v>11</v>
      </c>
      <c r="G316" s="104">
        <f aca="true" t="shared" si="44" ref="G316:G341">E316*D316</f>
        <v>5699</v>
      </c>
      <c r="H316" s="105">
        <f aca="true" t="shared" si="45" ref="H316:H329">G316*10%</f>
        <v>569.9</v>
      </c>
      <c r="I316" s="78"/>
      <c r="J316" s="85"/>
      <c r="K316" s="78">
        <f>E316*D316*20%</f>
        <v>1139.8</v>
      </c>
      <c r="L316" s="78">
        <v>569.9</v>
      </c>
      <c r="M316" s="85"/>
      <c r="N316" s="85"/>
      <c r="O316" s="85"/>
      <c r="P316" s="85"/>
      <c r="Q316" s="78">
        <f>(E316+I316+K316+H316+L316)*30%</f>
        <v>2393.58</v>
      </c>
      <c r="R316" s="85"/>
      <c r="S316" s="85"/>
      <c r="T316" s="78">
        <f>(G316+H316+I316+K316+L316)*10%</f>
        <v>797.86</v>
      </c>
      <c r="U316" s="80"/>
      <c r="V316" s="81">
        <f>G316+H316+I316+J316+K316+L316+M316+N316+O316+Q316+T316+U316</f>
        <v>11170.04</v>
      </c>
      <c r="W316" s="81">
        <f aca="true" t="shared" si="46" ref="W316:W329">V316*12*1.168+G316+G316*5%</f>
        <v>162543.23064000002</v>
      </c>
    </row>
    <row r="317" spans="1:23" s="1" customFormat="1" ht="13.5">
      <c r="A317" s="83">
        <v>3</v>
      </c>
      <c r="B317" s="84" t="s">
        <v>27</v>
      </c>
      <c r="C317" s="83" t="s">
        <v>120</v>
      </c>
      <c r="D317" s="83">
        <v>1.5</v>
      </c>
      <c r="E317" s="103">
        <v>5005</v>
      </c>
      <c r="F317" s="104">
        <v>9</v>
      </c>
      <c r="G317" s="104">
        <f t="shared" si="44"/>
        <v>7507.5</v>
      </c>
      <c r="H317" s="105">
        <f t="shared" si="45"/>
        <v>750.75</v>
      </c>
      <c r="I317" s="78"/>
      <c r="J317" s="85"/>
      <c r="K317" s="85">
        <f>E317*20%</f>
        <v>1001</v>
      </c>
      <c r="L317" s="85"/>
      <c r="M317" s="85"/>
      <c r="N317" s="85"/>
      <c r="O317" s="85"/>
      <c r="P317" s="85"/>
      <c r="Q317" s="78">
        <f>(G317+H317+K317)*10%</f>
        <v>925.9250000000001</v>
      </c>
      <c r="R317" s="85"/>
      <c r="S317" s="85"/>
      <c r="T317" s="78">
        <f>(G317+H317+I317+K317+L317)*10%</f>
        <v>925.9250000000001</v>
      </c>
      <c r="U317" s="80"/>
      <c r="V317" s="81">
        <f aca="true" t="shared" si="47" ref="V317:V341">G317+H317+I317+J317+K317+L317+M317+N317+O317+Q317+T317+U317</f>
        <v>11111.099999999999</v>
      </c>
      <c r="W317" s="81">
        <f t="shared" si="46"/>
        <v>163616.05259999997</v>
      </c>
    </row>
    <row r="318" spans="1:23" s="1" customFormat="1" ht="13.5">
      <c r="A318" s="83">
        <v>4</v>
      </c>
      <c r="B318" s="84" t="s">
        <v>27</v>
      </c>
      <c r="C318" s="83" t="s">
        <v>120</v>
      </c>
      <c r="D318" s="83">
        <v>1.5</v>
      </c>
      <c r="E318" s="103">
        <v>5005</v>
      </c>
      <c r="F318" s="104">
        <v>9</v>
      </c>
      <c r="G318" s="104">
        <f t="shared" si="44"/>
        <v>7507.5</v>
      </c>
      <c r="H318" s="105">
        <f t="shared" si="45"/>
        <v>750.75</v>
      </c>
      <c r="I318" s="78"/>
      <c r="J318" s="85"/>
      <c r="K318" s="85">
        <v>250.25</v>
      </c>
      <c r="L318" s="85"/>
      <c r="M318" s="85"/>
      <c r="N318" s="85"/>
      <c r="O318" s="85"/>
      <c r="P318" s="85"/>
      <c r="Q318" s="78"/>
      <c r="R318" s="85"/>
      <c r="S318" s="85"/>
      <c r="T318" s="78">
        <f>(G318+H318+I318+K318+L318)*10%</f>
        <v>850.85</v>
      </c>
      <c r="U318" s="80"/>
      <c r="V318" s="81">
        <f t="shared" si="47"/>
        <v>9359.35</v>
      </c>
      <c r="W318" s="81">
        <f t="shared" si="46"/>
        <v>139063.5246</v>
      </c>
    </row>
    <row r="319" spans="1:23" s="1" customFormat="1" ht="13.5">
      <c r="A319" s="83">
        <v>5</v>
      </c>
      <c r="B319" s="84" t="s">
        <v>13</v>
      </c>
      <c r="C319" s="83" t="s">
        <v>121</v>
      </c>
      <c r="D319" s="83">
        <v>1</v>
      </c>
      <c r="E319" s="107">
        <v>5699</v>
      </c>
      <c r="F319" s="104">
        <v>11</v>
      </c>
      <c r="G319" s="104">
        <f t="shared" si="44"/>
        <v>5699</v>
      </c>
      <c r="H319" s="105">
        <f t="shared" si="45"/>
        <v>569.9</v>
      </c>
      <c r="I319" s="85"/>
      <c r="J319" s="85"/>
      <c r="K319" s="85">
        <f>E319*20%</f>
        <v>1139.8</v>
      </c>
      <c r="L319" s="85"/>
      <c r="M319" s="85"/>
      <c r="N319" s="85"/>
      <c r="O319" s="85"/>
      <c r="P319" s="85"/>
      <c r="Q319" s="78"/>
      <c r="R319" s="85"/>
      <c r="S319" s="85"/>
      <c r="T319" s="78">
        <f>(G319+H319+I319+K319+L319)*10%</f>
        <v>740.87</v>
      </c>
      <c r="U319" s="80"/>
      <c r="V319" s="81">
        <f>G319+H319+I319+J319+K319+L319+M319+N319+O319+Q319+T319+U319</f>
        <v>8149.57</v>
      </c>
      <c r="W319" s="81">
        <f t="shared" si="46"/>
        <v>120208.32311999999</v>
      </c>
    </row>
    <row r="320" spans="1:23" s="1" customFormat="1" ht="32.25" customHeight="1">
      <c r="A320" s="83">
        <v>6</v>
      </c>
      <c r="B320" s="180" t="s">
        <v>129</v>
      </c>
      <c r="C320" s="83">
        <v>3231</v>
      </c>
      <c r="D320" s="83">
        <v>1.5</v>
      </c>
      <c r="E320" s="103">
        <v>4195</v>
      </c>
      <c r="F320" s="104">
        <v>6</v>
      </c>
      <c r="G320" s="104">
        <f>E320*D320</f>
        <v>6292.5</v>
      </c>
      <c r="H320" s="105"/>
      <c r="I320" s="78"/>
      <c r="J320" s="85"/>
      <c r="K320" s="85"/>
      <c r="L320" s="78">
        <v>629.25</v>
      </c>
      <c r="M320" s="85"/>
      <c r="N320" s="85"/>
      <c r="O320" s="85"/>
      <c r="P320" s="85"/>
      <c r="Q320" s="78">
        <v>1384.35</v>
      </c>
      <c r="R320" s="85"/>
      <c r="S320" s="85"/>
      <c r="T320" s="78"/>
      <c r="U320" s="80">
        <f>D320*6700-G320-H320-I320-J320-K320-L320-Q320-T320</f>
        <v>1743.9</v>
      </c>
      <c r="V320" s="81">
        <f>G320+H320+I320+J320+K320+L320+M320+N320+O320+Q320+T320+U320</f>
        <v>10050</v>
      </c>
      <c r="W320" s="81">
        <f t="shared" si="46"/>
        <v>147467.925</v>
      </c>
    </row>
    <row r="321" spans="1:23" s="1" customFormat="1" ht="30" customHeight="1">
      <c r="A321" s="83">
        <v>7</v>
      </c>
      <c r="B321" s="90" t="s">
        <v>134</v>
      </c>
      <c r="C321" s="152">
        <v>3231</v>
      </c>
      <c r="D321" s="83">
        <v>1</v>
      </c>
      <c r="E321" s="103">
        <v>4195</v>
      </c>
      <c r="F321" s="104">
        <v>6</v>
      </c>
      <c r="G321" s="104">
        <f t="shared" si="44"/>
        <v>4195</v>
      </c>
      <c r="H321" s="105"/>
      <c r="I321" s="78"/>
      <c r="J321" s="85"/>
      <c r="K321" s="85">
        <v>419.5</v>
      </c>
      <c r="L321" s="85"/>
      <c r="M321" s="85"/>
      <c r="N321" s="85"/>
      <c r="O321" s="85"/>
      <c r="P321" s="85"/>
      <c r="Q321" s="78"/>
      <c r="R321" s="85"/>
      <c r="S321" s="85"/>
      <c r="T321" s="78"/>
      <c r="U321" s="80">
        <f>D321*6700-G321-H321-I321-J321-K321-L321-Q321-T321</f>
        <v>2085.5</v>
      </c>
      <c r="V321" s="81">
        <f t="shared" si="47"/>
        <v>6700</v>
      </c>
      <c r="W321" s="81">
        <f t="shared" si="46"/>
        <v>98311.95</v>
      </c>
    </row>
    <row r="322" spans="1:23" s="1" customFormat="1" ht="18.75" customHeight="1">
      <c r="A322" s="83">
        <v>8</v>
      </c>
      <c r="B322" s="86" t="s">
        <v>135</v>
      </c>
      <c r="C322" s="152">
        <v>3475</v>
      </c>
      <c r="D322" s="83">
        <v>1.5</v>
      </c>
      <c r="E322" s="103">
        <v>5005</v>
      </c>
      <c r="F322" s="104">
        <v>9</v>
      </c>
      <c r="G322" s="104">
        <f t="shared" si="44"/>
        <v>7507.5</v>
      </c>
      <c r="H322" s="105">
        <f t="shared" si="45"/>
        <v>750.75</v>
      </c>
      <c r="I322" s="78"/>
      <c r="J322" s="85"/>
      <c r="K322" s="85">
        <f>E322*D322*20%</f>
        <v>1501.5</v>
      </c>
      <c r="L322" s="85"/>
      <c r="M322" s="85"/>
      <c r="N322" s="85"/>
      <c r="O322" s="85"/>
      <c r="P322" s="85"/>
      <c r="Q322" s="78">
        <v>650.65</v>
      </c>
      <c r="R322" s="85"/>
      <c r="S322" s="85"/>
      <c r="T322" s="78">
        <f>(G322+H322+I322+K322+L322)*10%</f>
        <v>975.975</v>
      </c>
      <c r="U322" s="80"/>
      <c r="V322" s="81">
        <f t="shared" si="47"/>
        <v>11386.375</v>
      </c>
      <c r="W322" s="81">
        <f t="shared" si="46"/>
        <v>167474.307</v>
      </c>
    </row>
    <row r="323" spans="1:23" s="1" customFormat="1" ht="13.5">
      <c r="A323" s="83">
        <v>9</v>
      </c>
      <c r="B323" s="84" t="s">
        <v>84</v>
      </c>
      <c r="C323" s="83" t="s">
        <v>124</v>
      </c>
      <c r="D323" s="83">
        <v>0.25</v>
      </c>
      <c r="E323" s="103">
        <v>4195</v>
      </c>
      <c r="F323" s="104">
        <v>6</v>
      </c>
      <c r="G323" s="105">
        <f t="shared" si="44"/>
        <v>1048.75</v>
      </c>
      <c r="H323" s="105"/>
      <c r="I323" s="85"/>
      <c r="J323" s="85"/>
      <c r="K323" s="85">
        <v>104.88</v>
      </c>
      <c r="L323" s="85"/>
      <c r="M323" s="85"/>
      <c r="N323" s="85"/>
      <c r="O323" s="85"/>
      <c r="P323" s="85"/>
      <c r="Q323" s="78"/>
      <c r="R323" s="85"/>
      <c r="S323" s="85"/>
      <c r="T323" s="78"/>
      <c r="U323" s="80">
        <f>D323*6700-G323-H323-I323-J323-K323-L323-Q323-T323</f>
        <v>521.37</v>
      </c>
      <c r="V323" s="81">
        <f>G323+H323+I323+J323+K323+L323+M323+N323+O323+Q323+T323+U323</f>
        <v>1675</v>
      </c>
      <c r="W323" s="81">
        <f t="shared" si="46"/>
        <v>24577.9875</v>
      </c>
    </row>
    <row r="324" spans="1:23" s="1" customFormat="1" ht="36" customHeight="1">
      <c r="A324" s="83">
        <v>10</v>
      </c>
      <c r="B324" s="86" t="s">
        <v>162</v>
      </c>
      <c r="C324" s="152">
        <v>2332</v>
      </c>
      <c r="D324" s="83">
        <v>3</v>
      </c>
      <c r="E324" s="103">
        <v>7001</v>
      </c>
      <c r="F324" s="114" t="s">
        <v>42</v>
      </c>
      <c r="G324" s="104">
        <f t="shared" si="44"/>
        <v>21003</v>
      </c>
      <c r="H324" s="105">
        <f t="shared" si="45"/>
        <v>2100.3</v>
      </c>
      <c r="I324" s="78"/>
      <c r="J324" s="85"/>
      <c r="K324" s="85">
        <f>G324*20%</f>
        <v>4200.6</v>
      </c>
      <c r="L324" s="78">
        <f>G324*15%</f>
        <v>3150.45</v>
      </c>
      <c r="M324" s="85"/>
      <c r="N324" s="85"/>
      <c r="O324" s="85"/>
      <c r="P324" s="85"/>
      <c r="Q324" s="78">
        <v>9136.32</v>
      </c>
      <c r="R324" s="85"/>
      <c r="S324" s="85"/>
      <c r="T324" s="78">
        <v>3045.45</v>
      </c>
      <c r="U324" s="80"/>
      <c r="V324" s="81">
        <f t="shared" si="47"/>
        <v>42636.119999999995</v>
      </c>
      <c r="W324" s="81">
        <f t="shared" si="46"/>
        <v>619641.0079199999</v>
      </c>
    </row>
    <row r="325" spans="1:23" s="1" customFormat="1" ht="41.25" customHeight="1">
      <c r="A325" s="83">
        <v>11</v>
      </c>
      <c r="B325" s="86" t="s">
        <v>163</v>
      </c>
      <c r="C325" s="152">
        <v>2332</v>
      </c>
      <c r="D325" s="83">
        <v>4.5</v>
      </c>
      <c r="E325" s="103">
        <v>6133</v>
      </c>
      <c r="F325" s="114" t="s">
        <v>66</v>
      </c>
      <c r="G325" s="104">
        <f t="shared" si="44"/>
        <v>27598.5</v>
      </c>
      <c r="H325" s="105">
        <f t="shared" si="45"/>
        <v>2759.8500000000004</v>
      </c>
      <c r="I325" s="78"/>
      <c r="J325" s="85"/>
      <c r="K325" s="85">
        <v>1226.6</v>
      </c>
      <c r="L325" s="78"/>
      <c r="M325" s="17"/>
      <c r="N325" s="17"/>
      <c r="O325" s="17"/>
      <c r="P325" s="17"/>
      <c r="Q325" s="78">
        <v>5642.36</v>
      </c>
      <c r="R325" s="17"/>
      <c r="S325" s="17"/>
      <c r="T325" s="78">
        <v>3158.5</v>
      </c>
      <c r="U325" s="18"/>
      <c r="V325" s="81">
        <f t="shared" si="47"/>
        <v>40385.81</v>
      </c>
      <c r="W325" s="81">
        <f t="shared" si="46"/>
        <v>595025.93796</v>
      </c>
    </row>
    <row r="326" spans="1:23" s="1" customFormat="1" ht="36" customHeight="1">
      <c r="A326" s="83">
        <v>12</v>
      </c>
      <c r="B326" s="86" t="s">
        <v>158</v>
      </c>
      <c r="C326" s="152">
        <v>2332</v>
      </c>
      <c r="D326" s="83">
        <v>16.25</v>
      </c>
      <c r="E326" s="103">
        <v>5699</v>
      </c>
      <c r="F326" s="114" t="s">
        <v>53</v>
      </c>
      <c r="G326" s="104">
        <f>E326*D326</f>
        <v>92608.75</v>
      </c>
      <c r="H326" s="105">
        <f t="shared" si="45"/>
        <v>9260.875</v>
      </c>
      <c r="I326" s="16"/>
      <c r="J326" s="17"/>
      <c r="K326" s="85">
        <v>7408.7</v>
      </c>
      <c r="L326" s="78">
        <v>4060.54</v>
      </c>
      <c r="M326" s="17"/>
      <c r="N326" s="17"/>
      <c r="O326" s="17"/>
      <c r="P326" s="17"/>
      <c r="Q326" s="78">
        <v>16334.78</v>
      </c>
      <c r="R326" s="85"/>
      <c r="S326" s="85"/>
      <c r="T326" s="78">
        <v>11333.92</v>
      </c>
      <c r="U326" s="80"/>
      <c r="V326" s="81">
        <f t="shared" si="47"/>
        <v>141007.565</v>
      </c>
      <c r="W326" s="81">
        <f t="shared" si="46"/>
        <v>2073601.2185399998</v>
      </c>
    </row>
    <row r="327" spans="1:23" s="1" customFormat="1" ht="30" customHeight="1">
      <c r="A327" s="83">
        <v>13</v>
      </c>
      <c r="B327" s="86" t="s">
        <v>158</v>
      </c>
      <c r="C327" s="152">
        <v>2332</v>
      </c>
      <c r="D327" s="83">
        <v>3.5</v>
      </c>
      <c r="E327" s="103">
        <v>5265</v>
      </c>
      <c r="F327" s="115" t="s">
        <v>54</v>
      </c>
      <c r="G327" s="104">
        <f t="shared" si="44"/>
        <v>18427.5</v>
      </c>
      <c r="H327" s="105">
        <f t="shared" si="45"/>
        <v>1842.75</v>
      </c>
      <c r="I327" s="16"/>
      <c r="J327" s="17"/>
      <c r="K327" s="85">
        <v>2632.5</v>
      </c>
      <c r="L327" s="16"/>
      <c r="M327" s="17"/>
      <c r="N327" s="17"/>
      <c r="O327" s="17"/>
      <c r="P327" s="17"/>
      <c r="Q327" s="78">
        <v>2290.28</v>
      </c>
      <c r="R327" s="85"/>
      <c r="S327" s="85"/>
      <c r="T327" s="78">
        <f>(G327+H327+I327+K327+L327)*10%</f>
        <v>2290.275</v>
      </c>
      <c r="U327" s="80"/>
      <c r="V327" s="81">
        <f t="shared" si="47"/>
        <v>27483.305</v>
      </c>
      <c r="W327" s="81">
        <f t="shared" si="46"/>
        <v>404554.87788</v>
      </c>
    </row>
    <row r="328" spans="1:23" s="1" customFormat="1" ht="34.5" customHeight="1">
      <c r="A328" s="83">
        <v>14</v>
      </c>
      <c r="B328" s="179" t="s">
        <v>136</v>
      </c>
      <c r="C328" s="173">
        <v>3330</v>
      </c>
      <c r="D328" s="152">
        <v>3</v>
      </c>
      <c r="E328" s="76">
        <v>5265</v>
      </c>
      <c r="F328" s="115" t="s">
        <v>54</v>
      </c>
      <c r="G328" s="104">
        <f t="shared" si="44"/>
        <v>15795</v>
      </c>
      <c r="H328" s="105">
        <f t="shared" si="45"/>
        <v>1579.5</v>
      </c>
      <c r="I328" s="78"/>
      <c r="J328" s="85"/>
      <c r="K328" s="118">
        <f>G328*20%</f>
        <v>3159</v>
      </c>
      <c r="L328" s="186"/>
      <c r="M328" s="192"/>
      <c r="N328" s="192"/>
      <c r="O328" s="192"/>
      <c r="P328" s="192"/>
      <c r="Q328" s="119">
        <v>4106.7</v>
      </c>
      <c r="R328" s="192"/>
      <c r="S328" s="17"/>
      <c r="T328" s="78">
        <v>2053.35</v>
      </c>
      <c r="U328" s="18"/>
      <c r="V328" s="81">
        <f t="shared" si="47"/>
        <v>26693.55</v>
      </c>
      <c r="W328" s="81">
        <f t="shared" si="46"/>
        <v>390721.54679999995</v>
      </c>
    </row>
    <row r="329" spans="1:23" s="1" customFormat="1" ht="13.5">
      <c r="A329" s="83">
        <v>15</v>
      </c>
      <c r="B329" s="86" t="s">
        <v>15</v>
      </c>
      <c r="C329" s="152">
        <v>2340</v>
      </c>
      <c r="D329" s="83">
        <v>1</v>
      </c>
      <c r="E329" s="103">
        <v>5699</v>
      </c>
      <c r="F329" s="104">
        <v>11</v>
      </c>
      <c r="G329" s="104">
        <f t="shared" si="44"/>
        <v>5699</v>
      </c>
      <c r="H329" s="105">
        <f t="shared" si="45"/>
        <v>569.9</v>
      </c>
      <c r="I329" s="78"/>
      <c r="J329" s="85"/>
      <c r="K329" s="85">
        <f>E329*20%*D329</f>
        <v>1139.8</v>
      </c>
      <c r="L329" s="85"/>
      <c r="M329" s="85"/>
      <c r="N329" s="85"/>
      <c r="O329" s="85"/>
      <c r="P329" s="85"/>
      <c r="Q329" s="78">
        <v>740.87</v>
      </c>
      <c r="R329" s="85"/>
      <c r="S329" s="85"/>
      <c r="T329" s="78">
        <f>(G329+H329+I329+K329+L329)*10%</f>
        <v>740.87</v>
      </c>
      <c r="U329" s="80"/>
      <c r="V329" s="81">
        <f t="shared" si="47"/>
        <v>8890.44</v>
      </c>
      <c r="W329" s="81">
        <f t="shared" si="46"/>
        <v>130592.35703999999</v>
      </c>
    </row>
    <row r="330" spans="1:23" s="1" customFormat="1" ht="37.5" customHeight="1">
      <c r="A330" s="83">
        <v>16</v>
      </c>
      <c r="B330" s="86" t="s">
        <v>25</v>
      </c>
      <c r="C330" s="152">
        <v>5131</v>
      </c>
      <c r="D330" s="83">
        <v>12.25</v>
      </c>
      <c r="E330" s="103">
        <v>4195</v>
      </c>
      <c r="F330" s="104">
        <v>6</v>
      </c>
      <c r="G330" s="104">
        <f t="shared" si="44"/>
        <v>51388.75</v>
      </c>
      <c r="H330" s="104"/>
      <c r="I330" s="85"/>
      <c r="J330" s="85"/>
      <c r="K330" s="85">
        <f>E330*20%*7</f>
        <v>5873</v>
      </c>
      <c r="L330" s="85"/>
      <c r="M330" s="147"/>
      <c r="N330" s="85"/>
      <c r="O330" s="85"/>
      <c r="P330" s="85"/>
      <c r="Q330" s="85"/>
      <c r="R330" s="85"/>
      <c r="S330" s="85"/>
      <c r="T330" s="85"/>
      <c r="U330" s="80">
        <f>D330*6700-G330-H330-I330-J330-K330-L330-Q330-T330</f>
        <v>24813.25</v>
      </c>
      <c r="V330" s="81">
        <f>G330+H330+I330+J330+K330+L330+M330+N330+O330+Q330+T330+U330</f>
        <v>82075</v>
      </c>
      <c r="W330" s="81">
        <f>V330*12*1.168+G330</f>
        <v>1201751.95</v>
      </c>
    </row>
    <row r="331" spans="1:23" s="1" customFormat="1" ht="33" customHeight="1">
      <c r="A331" s="83">
        <v>17</v>
      </c>
      <c r="B331" s="86" t="s">
        <v>17</v>
      </c>
      <c r="C331" s="152">
        <v>5131</v>
      </c>
      <c r="D331" s="83">
        <v>4</v>
      </c>
      <c r="E331" s="103">
        <v>4195</v>
      </c>
      <c r="F331" s="104">
        <v>6</v>
      </c>
      <c r="G331" s="104">
        <f t="shared" si="44"/>
        <v>16780</v>
      </c>
      <c r="H331" s="104"/>
      <c r="I331" s="148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0">
        <f>D331*6700-G331-H331-I331-J331-K331-L331-Q331-T331</f>
        <v>10020</v>
      </c>
      <c r="V331" s="81">
        <f t="shared" si="47"/>
        <v>26800</v>
      </c>
      <c r="W331" s="81">
        <f aca="true" t="shared" si="48" ref="W331:W341">V331*12*1.168+G331</f>
        <v>392408.8</v>
      </c>
    </row>
    <row r="332" spans="1:23" s="1" customFormat="1" ht="35.25" customHeight="1">
      <c r="A332" s="83">
        <v>18</v>
      </c>
      <c r="B332" s="90" t="s">
        <v>127</v>
      </c>
      <c r="C332" s="163">
        <v>1239</v>
      </c>
      <c r="D332" s="83">
        <v>1</v>
      </c>
      <c r="E332" s="103">
        <f>E315*85%</f>
        <v>6860.349999999999</v>
      </c>
      <c r="F332" s="115" t="s">
        <v>85</v>
      </c>
      <c r="G332" s="104">
        <f>E332*D332</f>
        <v>6860.349999999999</v>
      </c>
      <c r="H332" s="115"/>
      <c r="I332" s="85"/>
      <c r="J332" s="85">
        <f>D332*E332*15%</f>
        <v>1029.0524999999998</v>
      </c>
      <c r="K332" s="85">
        <f>E332*15%</f>
        <v>1029.0524999999998</v>
      </c>
      <c r="L332" s="85"/>
      <c r="M332" s="85"/>
      <c r="N332" s="85"/>
      <c r="O332" s="85"/>
      <c r="P332" s="85"/>
      <c r="Q332" s="85"/>
      <c r="R332" s="85"/>
      <c r="S332" s="85"/>
      <c r="T332" s="85"/>
      <c r="U332" s="80"/>
      <c r="V332" s="81">
        <f t="shared" si="47"/>
        <v>8918.454999999998</v>
      </c>
      <c r="W332" s="81">
        <f t="shared" si="48"/>
        <v>131861.41527999996</v>
      </c>
    </row>
    <row r="333" spans="1:23" s="1" customFormat="1" ht="13.5">
      <c r="A333" s="83">
        <v>19</v>
      </c>
      <c r="B333" s="90" t="s">
        <v>68</v>
      </c>
      <c r="C333" s="163">
        <v>3570</v>
      </c>
      <c r="D333" s="83">
        <v>1</v>
      </c>
      <c r="E333" s="103">
        <v>4195</v>
      </c>
      <c r="F333" s="104">
        <v>6</v>
      </c>
      <c r="G333" s="104">
        <f t="shared" si="44"/>
        <v>4195</v>
      </c>
      <c r="H333" s="104"/>
      <c r="I333" s="85"/>
      <c r="J333" s="85"/>
      <c r="K333" s="85">
        <f>E333*15%*D333</f>
        <v>629.25</v>
      </c>
      <c r="L333" s="85"/>
      <c r="M333" s="85"/>
      <c r="N333" s="85">
        <f>E333*12%</f>
        <v>503.4</v>
      </c>
      <c r="O333" s="85"/>
      <c r="P333" s="85"/>
      <c r="Q333" s="85"/>
      <c r="R333" s="85"/>
      <c r="S333" s="85"/>
      <c r="T333" s="85"/>
      <c r="U333" s="80">
        <f aca="true" t="shared" si="49" ref="U333:U341">D333*6700-G333-H333-I333-J333-K333-L333-Q333-T333</f>
        <v>1875.75</v>
      </c>
      <c r="V333" s="81">
        <f t="shared" si="47"/>
        <v>7203.4</v>
      </c>
      <c r="W333" s="81">
        <f t="shared" si="48"/>
        <v>105157.85439999998</v>
      </c>
    </row>
    <row r="334" spans="1:23" s="1" customFormat="1" ht="13.5">
      <c r="A334" s="83">
        <v>20</v>
      </c>
      <c r="B334" s="84" t="s">
        <v>8</v>
      </c>
      <c r="C334" s="83">
        <v>5122</v>
      </c>
      <c r="D334" s="83">
        <v>3</v>
      </c>
      <c r="E334" s="103">
        <v>3934</v>
      </c>
      <c r="F334" s="104">
        <v>5</v>
      </c>
      <c r="G334" s="104">
        <f t="shared" si="44"/>
        <v>11802</v>
      </c>
      <c r="H334" s="104"/>
      <c r="I334" s="85"/>
      <c r="J334" s="85"/>
      <c r="K334" s="85">
        <f>E334*15%*D334</f>
        <v>1770.3000000000002</v>
      </c>
      <c r="L334" s="85"/>
      <c r="M334" s="85"/>
      <c r="N334" s="85">
        <f>E334*12%*D334</f>
        <v>1416.24</v>
      </c>
      <c r="O334" s="85"/>
      <c r="P334" s="85"/>
      <c r="Q334" s="85"/>
      <c r="R334" s="85"/>
      <c r="S334" s="85"/>
      <c r="T334" s="85"/>
      <c r="U334" s="80">
        <f t="shared" si="49"/>
        <v>6527.7</v>
      </c>
      <c r="V334" s="81">
        <f t="shared" si="47"/>
        <v>21516.239999999998</v>
      </c>
      <c r="W334" s="81">
        <f t="shared" si="48"/>
        <v>313373.61983999994</v>
      </c>
    </row>
    <row r="335" spans="1:23" s="1" customFormat="1" ht="13.5">
      <c r="A335" s="83">
        <v>21</v>
      </c>
      <c r="B335" s="84" t="s">
        <v>128</v>
      </c>
      <c r="C335" s="83">
        <v>9132</v>
      </c>
      <c r="D335" s="83">
        <v>0.75</v>
      </c>
      <c r="E335" s="103">
        <v>2893</v>
      </c>
      <c r="F335" s="104">
        <v>1</v>
      </c>
      <c r="G335" s="104">
        <f t="shared" si="44"/>
        <v>2169.75</v>
      </c>
      <c r="H335" s="104"/>
      <c r="I335" s="85"/>
      <c r="J335" s="85"/>
      <c r="K335" s="85">
        <f>E335*15%*D335</f>
        <v>325.4625</v>
      </c>
      <c r="L335" s="85"/>
      <c r="M335" s="85"/>
      <c r="N335" s="85">
        <f>E335*12%*D335</f>
        <v>260.37</v>
      </c>
      <c r="O335" s="85"/>
      <c r="P335" s="85"/>
      <c r="Q335" s="85"/>
      <c r="R335" s="85"/>
      <c r="S335" s="85"/>
      <c r="T335" s="85"/>
      <c r="U335" s="80">
        <f t="shared" si="49"/>
        <v>2529.7875</v>
      </c>
      <c r="V335" s="81">
        <f t="shared" si="47"/>
        <v>5285.37</v>
      </c>
      <c r="W335" s="81">
        <f t="shared" si="48"/>
        <v>76249.49592</v>
      </c>
    </row>
    <row r="336" spans="1:23" s="1" customFormat="1" ht="35.25" customHeight="1">
      <c r="A336" s="83">
        <v>22</v>
      </c>
      <c r="B336" s="86" t="s">
        <v>24</v>
      </c>
      <c r="C336" s="152">
        <v>8264</v>
      </c>
      <c r="D336" s="83">
        <v>1.5</v>
      </c>
      <c r="E336" s="103">
        <v>3153</v>
      </c>
      <c r="F336" s="104">
        <v>2</v>
      </c>
      <c r="G336" s="104">
        <f t="shared" si="44"/>
        <v>4729.5</v>
      </c>
      <c r="H336" s="104"/>
      <c r="I336" s="85"/>
      <c r="J336" s="85"/>
      <c r="K336" s="85">
        <f>E336*15%*D336</f>
        <v>709.425</v>
      </c>
      <c r="L336" s="85"/>
      <c r="M336" s="85"/>
      <c r="N336" s="85">
        <f>E336*12%*D336</f>
        <v>567.54</v>
      </c>
      <c r="O336" s="85"/>
      <c r="P336" s="85"/>
      <c r="Q336" s="85"/>
      <c r="R336" s="85"/>
      <c r="S336" s="85"/>
      <c r="T336" s="85"/>
      <c r="U336" s="80">
        <f t="shared" si="49"/>
        <v>4611.075</v>
      </c>
      <c r="V336" s="81">
        <f t="shared" si="47"/>
        <v>10617.54</v>
      </c>
      <c r="W336" s="81">
        <f t="shared" si="48"/>
        <v>153544.94064000002</v>
      </c>
    </row>
    <row r="337" spans="1:30" s="1" customFormat="1" ht="44.25" customHeight="1">
      <c r="A337" s="83">
        <v>23</v>
      </c>
      <c r="B337" s="86" t="s">
        <v>142</v>
      </c>
      <c r="C337" s="152">
        <v>7129</v>
      </c>
      <c r="D337" s="83">
        <v>1.5</v>
      </c>
      <c r="E337" s="103">
        <v>3674</v>
      </c>
      <c r="F337" s="104">
        <v>4</v>
      </c>
      <c r="G337" s="104">
        <f t="shared" si="44"/>
        <v>5511</v>
      </c>
      <c r="H337" s="104"/>
      <c r="I337" s="85"/>
      <c r="J337" s="85"/>
      <c r="K337" s="85">
        <f>E337*15%*D337</f>
        <v>826.6500000000001</v>
      </c>
      <c r="L337" s="85"/>
      <c r="M337" s="85"/>
      <c r="N337" s="85"/>
      <c r="O337" s="85"/>
      <c r="P337" s="85"/>
      <c r="Q337" s="85"/>
      <c r="R337" s="85"/>
      <c r="S337" s="85"/>
      <c r="T337" s="85"/>
      <c r="U337" s="80">
        <f t="shared" si="49"/>
        <v>3712.35</v>
      </c>
      <c r="V337" s="81">
        <f t="shared" si="47"/>
        <v>10050</v>
      </c>
      <c r="W337" s="81">
        <f t="shared" si="48"/>
        <v>146371.8</v>
      </c>
      <c r="AD337" s="116"/>
    </row>
    <row r="338" spans="1:23" s="1" customFormat="1" ht="13.5">
      <c r="A338" s="83">
        <v>24</v>
      </c>
      <c r="B338" s="84" t="s">
        <v>10</v>
      </c>
      <c r="C338" s="83">
        <v>9152</v>
      </c>
      <c r="D338" s="83">
        <v>2</v>
      </c>
      <c r="E338" s="103">
        <v>3153</v>
      </c>
      <c r="F338" s="104">
        <v>2</v>
      </c>
      <c r="G338" s="104">
        <f t="shared" si="44"/>
        <v>6306</v>
      </c>
      <c r="H338" s="104"/>
      <c r="I338" s="85"/>
      <c r="J338" s="85"/>
      <c r="K338" s="85"/>
      <c r="L338" s="85"/>
      <c r="M338" s="85"/>
      <c r="N338" s="85"/>
      <c r="O338" s="140">
        <f>(E338*D338)*40%</f>
        <v>2522.4</v>
      </c>
      <c r="P338" s="85"/>
      <c r="Q338" s="85"/>
      <c r="R338" s="85"/>
      <c r="S338" s="85"/>
      <c r="T338" s="85"/>
      <c r="U338" s="80">
        <f t="shared" si="49"/>
        <v>7094</v>
      </c>
      <c r="V338" s="81">
        <f t="shared" si="47"/>
        <v>15922.4</v>
      </c>
      <c r="W338" s="81">
        <f t="shared" si="48"/>
        <v>229474.35839999997</v>
      </c>
    </row>
    <row r="339" spans="1:23" s="1" customFormat="1" ht="13.5">
      <c r="A339" s="83">
        <v>25</v>
      </c>
      <c r="B339" s="84" t="s">
        <v>56</v>
      </c>
      <c r="C339" s="83">
        <v>9162</v>
      </c>
      <c r="D339" s="83">
        <v>1</v>
      </c>
      <c r="E339" s="103">
        <v>2893</v>
      </c>
      <c r="F339" s="104">
        <v>1</v>
      </c>
      <c r="G339" s="104">
        <f t="shared" si="44"/>
        <v>2893</v>
      </c>
      <c r="H339" s="104"/>
      <c r="I339" s="85"/>
      <c r="J339" s="85"/>
      <c r="K339" s="85"/>
      <c r="L339" s="85"/>
      <c r="M339" s="85"/>
      <c r="N339" s="85"/>
      <c r="O339" s="140"/>
      <c r="P339" s="85"/>
      <c r="Q339" s="85"/>
      <c r="R339" s="85"/>
      <c r="S339" s="85"/>
      <c r="T339" s="85"/>
      <c r="U339" s="80">
        <f t="shared" si="49"/>
        <v>3807</v>
      </c>
      <c r="V339" s="81">
        <f t="shared" si="47"/>
        <v>6700</v>
      </c>
      <c r="W339" s="81">
        <f t="shared" si="48"/>
        <v>96800.2</v>
      </c>
    </row>
    <row r="340" spans="1:23" s="1" customFormat="1" ht="13.5">
      <c r="A340" s="83">
        <v>26</v>
      </c>
      <c r="B340" s="84" t="s">
        <v>86</v>
      </c>
      <c r="C340" s="83">
        <v>4132</v>
      </c>
      <c r="D340" s="83">
        <v>1</v>
      </c>
      <c r="E340" s="103">
        <v>3153</v>
      </c>
      <c r="F340" s="104">
        <v>2</v>
      </c>
      <c r="G340" s="104">
        <f t="shared" si="44"/>
        <v>3153</v>
      </c>
      <c r="H340" s="104"/>
      <c r="I340" s="85"/>
      <c r="J340" s="85"/>
      <c r="K340" s="85">
        <f>E340*15%*D340</f>
        <v>472.95</v>
      </c>
      <c r="L340" s="85"/>
      <c r="M340" s="85"/>
      <c r="N340" s="85"/>
      <c r="O340" s="140"/>
      <c r="P340" s="85"/>
      <c r="Q340" s="85"/>
      <c r="R340" s="85"/>
      <c r="S340" s="85"/>
      <c r="T340" s="85"/>
      <c r="U340" s="80">
        <f t="shared" si="49"/>
        <v>3074.05</v>
      </c>
      <c r="V340" s="81">
        <f t="shared" si="47"/>
        <v>6700</v>
      </c>
      <c r="W340" s="81">
        <f t="shared" si="48"/>
        <v>97060.2</v>
      </c>
    </row>
    <row r="341" spans="1:23" s="1" customFormat="1" ht="23.25" customHeight="1">
      <c r="A341" s="83">
        <v>27</v>
      </c>
      <c r="B341" s="142" t="s">
        <v>87</v>
      </c>
      <c r="C341" s="164">
        <v>9132</v>
      </c>
      <c r="D341" s="83">
        <v>1</v>
      </c>
      <c r="E341" s="107">
        <v>3153</v>
      </c>
      <c r="F341" s="104">
        <v>2</v>
      </c>
      <c r="G341" s="104">
        <f t="shared" si="44"/>
        <v>3153</v>
      </c>
      <c r="H341" s="104"/>
      <c r="I341" s="85"/>
      <c r="J341" s="85"/>
      <c r="K341" s="85">
        <f>E341*15%*D341</f>
        <v>472.95</v>
      </c>
      <c r="L341" s="85"/>
      <c r="M341" s="85">
        <f>E341*D341*10%</f>
        <v>315.3</v>
      </c>
      <c r="N341" s="85"/>
      <c r="O341" s="140"/>
      <c r="P341" s="85"/>
      <c r="Q341" s="85"/>
      <c r="R341" s="85"/>
      <c r="S341" s="85"/>
      <c r="T341" s="85"/>
      <c r="U341" s="80">
        <f t="shared" si="49"/>
        <v>3074.05</v>
      </c>
      <c r="V341" s="81">
        <f t="shared" si="47"/>
        <v>7015.3</v>
      </c>
      <c r="W341" s="81">
        <f t="shared" si="48"/>
        <v>101479.4448</v>
      </c>
    </row>
    <row r="342" spans="1:25" s="1" customFormat="1" ht="13.5">
      <c r="A342" s="84"/>
      <c r="B342" s="84" t="s">
        <v>6</v>
      </c>
      <c r="C342" s="83"/>
      <c r="D342" s="91">
        <f>SUM(D315:D341)</f>
        <v>71.5</v>
      </c>
      <c r="E342" s="91"/>
      <c r="F342" s="91"/>
      <c r="G342" s="149">
        <f aca="true" t="shared" si="50" ref="G342:W342">SUM(G315:G341)</f>
        <v>353600.85</v>
      </c>
      <c r="H342" s="91">
        <f t="shared" si="50"/>
        <v>22312.325</v>
      </c>
      <c r="I342" s="91">
        <f t="shared" si="50"/>
        <v>242.13</v>
      </c>
      <c r="J342" s="91">
        <f t="shared" si="50"/>
        <v>1029.0524999999998</v>
      </c>
      <c r="K342" s="91">
        <f t="shared" si="50"/>
        <v>40661.37</v>
      </c>
      <c r="L342" s="91">
        <f t="shared" si="50"/>
        <v>8410.14</v>
      </c>
      <c r="M342" s="91">
        <f t="shared" si="50"/>
        <v>315.3</v>
      </c>
      <c r="N342" s="91">
        <f t="shared" si="50"/>
        <v>2747.5499999999997</v>
      </c>
      <c r="O342" s="91">
        <f t="shared" si="50"/>
        <v>2522.4</v>
      </c>
      <c r="P342" s="91">
        <f t="shared" si="50"/>
        <v>0</v>
      </c>
      <c r="Q342" s="91">
        <f t="shared" si="50"/>
        <v>47310.403999999995</v>
      </c>
      <c r="R342" s="91">
        <f t="shared" si="50"/>
        <v>0</v>
      </c>
      <c r="S342" s="91">
        <f t="shared" si="50"/>
        <v>0</v>
      </c>
      <c r="T342" s="91">
        <f t="shared" si="50"/>
        <v>28148.708000000002</v>
      </c>
      <c r="U342" s="150">
        <f t="shared" si="50"/>
        <v>75489.7825</v>
      </c>
      <c r="V342" s="91">
        <f t="shared" si="50"/>
        <v>582790.0120000001</v>
      </c>
      <c r="W342" s="91">
        <f t="shared" si="50"/>
        <v>8533718.633191999</v>
      </c>
      <c r="Y342" s="3"/>
    </row>
    <row r="343" spans="1:25" s="1" customFormat="1" ht="13.5">
      <c r="A343" s="68"/>
      <c r="B343" s="68"/>
      <c r="C343" s="165"/>
      <c r="D343" s="131"/>
      <c r="E343" s="131"/>
      <c r="F343" s="131"/>
      <c r="G343" s="195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96"/>
      <c r="V343" s="131"/>
      <c r="W343" s="131"/>
      <c r="Y343" s="3"/>
    </row>
    <row r="344" spans="1:21" ht="14.25" customHeight="1">
      <c r="A344" s="6"/>
      <c r="B344" s="6"/>
      <c r="C344" s="166"/>
      <c r="D344" s="39"/>
      <c r="E344" s="39"/>
      <c r="F344" s="194" t="s">
        <v>169</v>
      </c>
      <c r="G344" s="112"/>
      <c r="H344" s="112"/>
      <c r="I344" s="112"/>
      <c r="J344" s="112"/>
      <c r="K344" s="112"/>
      <c r="L344" s="112"/>
      <c r="M344" s="113"/>
      <c r="N344" s="3"/>
      <c r="O344" s="3"/>
      <c r="P344" s="3" t="s">
        <v>170</v>
      </c>
      <c r="Q344" s="113"/>
      <c r="R344" s="6"/>
      <c r="S344" s="6"/>
      <c r="T344" s="6"/>
      <c r="U344" s="28"/>
    </row>
    <row r="345" spans="1:23" ht="15">
      <c r="A345" s="31"/>
      <c r="B345" s="93"/>
      <c r="C345" s="802"/>
      <c r="D345" s="802"/>
      <c r="E345" s="802"/>
      <c r="F345" s="802"/>
      <c r="G345" s="802"/>
      <c r="H345" s="802"/>
      <c r="I345" s="802"/>
      <c r="J345" s="802"/>
      <c r="K345" s="802"/>
      <c r="L345" s="94"/>
      <c r="M345" s="94"/>
      <c r="N345" s="94"/>
      <c r="O345" s="94"/>
      <c r="P345" s="94"/>
      <c r="Q345" s="94"/>
      <c r="R345" s="82"/>
      <c r="S345" s="82"/>
      <c r="T345" s="33"/>
      <c r="U345" s="33"/>
      <c r="V345" s="33"/>
      <c r="W345" s="33"/>
    </row>
    <row r="346" spans="1:23" ht="15">
      <c r="A346" s="31"/>
      <c r="B346" s="93"/>
      <c r="C346" s="802" t="s">
        <v>168</v>
      </c>
      <c r="D346" s="802"/>
      <c r="E346" s="802"/>
      <c r="F346" s="802"/>
      <c r="G346" s="802"/>
      <c r="H346" s="802"/>
      <c r="I346" s="802"/>
      <c r="J346" s="802"/>
      <c r="K346" s="802"/>
      <c r="L346" s="94"/>
      <c r="M346" s="94"/>
      <c r="N346" s="94"/>
      <c r="O346" s="94"/>
      <c r="P346" s="94" t="s">
        <v>167</v>
      </c>
      <c r="Q346" s="94"/>
      <c r="R346" s="82"/>
      <c r="S346" s="82"/>
      <c r="T346" s="33"/>
      <c r="U346" s="33"/>
      <c r="V346" s="33"/>
      <c r="W346" s="33"/>
    </row>
    <row r="347" spans="15:18" ht="15">
      <c r="O347" s="4"/>
      <c r="P347" s="4"/>
      <c r="Q347" s="4"/>
      <c r="R347" s="5"/>
    </row>
    <row r="348" spans="15:18" ht="13.5">
      <c r="O348" s="32"/>
      <c r="P348" s="32"/>
      <c r="Q348" s="32"/>
      <c r="R348" s="32"/>
    </row>
    <row r="349" spans="1:23" ht="18" customHeight="1">
      <c r="A349" s="154"/>
      <c r="B349" s="6"/>
      <c r="C349" s="166"/>
      <c r="D349" s="6"/>
      <c r="E349" s="6"/>
      <c r="F349" s="155"/>
      <c r="G349" s="155"/>
      <c r="H349" s="155"/>
      <c r="I349" s="6"/>
      <c r="J349" s="29"/>
      <c r="K349" s="6"/>
      <c r="L349" s="6"/>
      <c r="M349" s="6"/>
      <c r="N349" s="6"/>
      <c r="O349" s="6"/>
      <c r="P349" s="6"/>
      <c r="Q349" s="1" t="s">
        <v>102</v>
      </c>
      <c r="R349" s="156">
        <v>1</v>
      </c>
      <c r="S349" s="157"/>
      <c r="T349" s="3"/>
      <c r="U349" s="121"/>
      <c r="V349" s="1"/>
      <c r="W349" s="30"/>
    </row>
    <row r="350" spans="1:24" ht="30.75" customHeight="1">
      <c r="A350" s="154"/>
      <c r="B350" s="6"/>
      <c r="C350" s="166"/>
      <c r="D350" s="6"/>
      <c r="E350" s="6"/>
      <c r="F350" s="155"/>
      <c r="G350" s="155"/>
      <c r="H350" s="155"/>
      <c r="I350" s="6"/>
      <c r="J350" s="29"/>
      <c r="K350" s="6"/>
      <c r="L350" s="6"/>
      <c r="M350" s="6"/>
      <c r="N350" s="6"/>
      <c r="O350" s="6"/>
      <c r="P350" s="6"/>
      <c r="Q350" s="806" t="s">
        <v>103</v>
      </c>
      <c r="R350" s="806"/>
      <c r="S350" s="806"/>
      <c r="T350" s="806"/>
      <c r="U350" s="806"/>
      <c r="V350" s="806"/>
      <c r="W350" s="7"/>
      <c r="X350" s="7"/>
    </row>
    <row r="351" spans="1:23" ht="20.25" customHeight="1">
      <c r="A351" s="154"/>
      <c r="B351" s="6"/>
      <c r="C351" s="166"/>
      <c r="D351" s="6"/>
      <c r="E351" s="6"/>
      <c r="F351" s="155"/>
      <c r="G351" s="155"/>
      <c r="H351" s="155"/>
      <c r="I351" s="6"/>
      <c r="J351" s="29"/>
      <c r="K351" s="6"/>
      <c r="L351" s="6"/>
      <c r="M351" s="6"/>
      <c r="N351" s="6"/>
      <c r="O351" s="6"/>
      <c r="P351" s="6"/>
      <c r="Q351" s="807" t="s">
        <v>104</v>
      </c>
      <c r="R351" s="807"/>
      <c r="S351" s="807"/>
      <c r="T351" s="153" t="s">
        <v>0</v>
      </c>
      <c r="U351" s="159"/>
      <c r="V351" s="153"/>
      <c r="W351" s="8"/>
    </row>
    <row r="352" spans="1:24" ht="48" customHeight="1">
      <c r="A352" s="154"/>
      <c r="B352" s="6"/>
      <c r="C352" s="166"/>
      <c r="D352" s="6"/>
      <c r="E352" s="6"/>
      <c r="F352" s="155"/>
      <c r="G352" s="155"/>
      <c r="H352" s="155"/>
      <c r="I352" s="6"/>
      <c r="J352" s="29"/>
      <c r="K352" s="6"/>
      <c r="L352" s="6"/>
      <c r="M352" s="6"/>
      <c r="N352" s="6"/>
      <c r="O352" s="6"/>
      <c r="P352" s="6"/>
      <c r="Q352" s="808" t="s">
        <v>137</v>
      </c>
      <c r="R352" s="808"/>
      <c r="S352" s="808"/>
      <c r="T352" s="808"/>
      <c r="U352" s="808"/>
      <c r="V352" s="808"/>
      <c r="W352" s="8"/>
      <c r="X352" s="8"/>
    </row>
    <row r="353" spans="16:21" ht="21" customHeight="1">
      <c r="P353" s="95"/>
      <c r="Q353" s="95"/>
      <c r="R353" s="95"/>
      <c r="S353" s="95"/>
      <c r="T353" s="96"/>
      <c r="U353" s="1"/>
    </row>
    <row r="354" ht="19.5" customHeight="1">
      <c r="U354" s="28"/>
    </row>
    <row r="355" spans="1:23" ht="17.25">
      <c r="A355" s="1"/>
      <c r="B355" s="925" t="s">
        <v>165</v>
      </c>
      <c r="C355" s="925"/>
      <c r="D355" s="925"/>
      <c r="E355" s="925"/>
      <c r="F355" s="925"/>
      <c r="G355" s="925"/>
      <c r="H355" s="925"/>
      <c r="I355" s="925"/>
      <c r="J355" s="925"/>
      <c r="K355" s="925"/>
      <c r="L355" s="925"/>
      <c r="M355" s="925"/>
      <c r="N355" s="925"/>
      <c r="O355" s="47"/>
      <c r="P355" s="47"/>
      <c r="Q355" s="47"/>
      <c r="R355" s="47"/>
      <c r="S355" s="47"/>
      <c r="T355" s="32"/>
      <c r="U355" s="55"/>
      <c r="V355" s="32"/>
      <c r="W355" s="32"/>
    </row>
    <row r="356" spans="1:23" ht="20.25" customHeight="1">
      <c r="A356" s="1"/>
      <c r="B356" s="926" t="s">
        <v>166</v>
      </c>
      <c r="C356" s="926"/>
      <c r="D356" s="926"/>
      <c r="E356" s="926"/>
      <c r="F356" s="926"/>
      <c r="G356" s="926"/>
      <c r="H356" s="926"/>
      <c r="I356" s="926"/>
      <c r="J356" s="926"/>
      <c r="K356" s="926"/>
      <c r="L356" s="926"/>
      <c r="M356" s="926"/>
      <c r="N356" s="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ht="13.5">
      <c r="A357" s="3"/>
      <c r="B357" s="927" t="s">
        <v>7</v>
      </c>
      <c r="C357" s="927"/>
      <c r="D357" s="927"/>
      <c r="E357" s="927"/>
      <c r="F357" s="927"/>
      <c r="G357" s="927"/>
      <c r="H357" s="927"/>
      <c r="I357" s="927"/>
      <c r="J357" s="927"/>
      <c r="K357" s="927"/>
      <c r="L357" s="927"/>
      <c r="M357" s="927"/>
      <c r="N357" s="3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" customHeight="1" hidden="1">
      <c r="A358" s="3"/>
      <c r="B358" s="3"/>
      <c r="C358" s="1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7.25" customHeight="1">
      <c r="A359" s="3"/>
      <c r="B359" s="3" t="s">
        <v>141</v>
      </c>
      <c r="C359" s="1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22.5" customHeight="1">
      <c r="A360" s="6"/>
      <c r="B360" s="900" t="s">
        <v>140</v>
      </c>
      <c r="C360" s="900"/>
      <c r="D360" s="90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6.75" customHeight="1" hidden="1">
      <c r="A361" s="6"/>
      <c r="B361" s="6"/>
      <c r="C361" s="16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3.5" hidden="1">
      <c r="A362" s="6"/>
      <c r="B362" s="829"/>
      <c r="C362" s="829"/>
      <c r="D362" s="82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s="1" customFormat="1" ht="25.5" customHeight="1">
      <c r="A363" s="855" t="s">
        <v>0</v>
      </c>
      <c r="B363" s="66" t="s">
        <v>1</v>
      </c>
      <c r="C363" s="890" t="s">
        <v>117</v>
      </c>
      <c r="D363" s="67" t="s">
        <v>2</v>
      </c>
      <c r="E363" s="848" t="s">
        <v>34</v>
      </c>
      <c r="F363" s="848" t="s">
        <v>35</v>
      </c>
      <c r="G363" s="845" t="s">
        <v>38</v>
      </c>
      <c r="H363" s="845" t="s">
        <v>39</v>
      </c>
      <c r="I363" s="902" t="s">
        <v>31</v>
      </c>
      <c r="J363" s="903"/>
      <c r="K363" s="903"/>
      <c r="L363" s="904"/>
      <c r="M363" s="852" t="s">
        <v>33</v>
      </c>
      <c r="N363" s="853"/>
      <c r="O363" s="853"/>
      <c r="P363" s="854"/>
      <c r="Q363" s="852" t="s">
        <v>19</v>
      </c>
      <c r="R363" s="853"/>
      <c r="S363" s="854"/>
      <c r="T363" s="835" t="s">
        <v>100</v>
      </c>
      <c r="U363" s="835" t="s">
        <v>40</v>
      </c>
      <c r="V363" s="826" t="s">
        <v>161</v>
      </c>
      <c r="W363" s="68"/>
    </row>
    <row r="364" spans="1:23" s="1" customFormat="1" ht="12.75" customHeight="1">
      <c r="A364" s="856"/>
      <c r="B364" s="70" t="s">
        <v>18</v>
      </c>
      <c r="C364" s="891"/>
      <c r="D364" s="70" t="s">
        <v>3</v>
      </c>
      <c r="E364" s="848"/>
      <c r="F364" s="848"/>
      <c r="G364" s="846"/>
      <c r="H364" s="846"/>
      <c r="I364" s="811"/>
      <c r="J364" s="811" t="s">
        <v>26</v>
      </c>
      <c r="K364" s="811" t="s">
        <v>36</v>
      </c>
      <c r="L364" s="811" t="s">
        <v>30</v>
      </c>
      <c r="M364" s="812" t="s">
        <v>22</v>
      </c>
      <c r="N364" s="818"/>
      <c r="O364" s="876"/>
      <c r="P364" s="901" t="s">
        <v>43</v>
      </c>
      <c r="Q364" s="811" t="s">
        <v>20</v>
      </c>
      <c r="R364" s="819" t="s">
        <v>41</v>
      </c>
      <c r="S364" s="811" t="s">
        <v>21</v>
      </c>
      <c r="T364" s="836"/>
      <c r="U364" s="836"/>
      <c r="V364" s="827"/>
      <c r="W364" s="68"/>
    </row>
    <row r="365" spans="1:23" s="1" customFormat="1" ht="36" customHeight="1">
      <c r="A365" s="856"/>
      <c r="B365" s="70"/>
      <c r="C365" s="891"/>
      <c r="D365" s="70" t="s">
        <v>4</v>
      </c>
      <c r="E365" s="848"/>
      <c r="F365" s="848"/>
      <c r="G365" s="846"/>
      <c r="H365" s="846"/>
      <c r="I365" s="812"/>
      <c r="J365" s="812"/>
      <c r="K365" s="812"/>
      <c r="L365" s="812"/>
      <c r="M365" s="812"/>
      <c r="N365" s="812"/>
      <c r="O365" s="842"/>
      <c r="P365" s="901"/>
      <c r="Q365" s="812"/>
      <c r="R365" s="820"/>
      <c r="S365" s="812"/>
      <c r="T365" s="836"/>
      <c r="U365" s="836"/>
      <c r="V365" s="827"/>
      <c r="W365" s="68"/>
    </row>
    <row r="366" spans="1:23" s="1" customFormat="1" ht="58.5" customHeight="1">
      <c r="A366" s="69"/>
      <c r="B366" s="70"/>
      <c r="C366" s="891"/>
      <c r="D366" s="70"/>
      <c r="E366" s="848"/>
      <c r="F366" s="848"/>
      <c r="G366" s="846"/>
      <c r="H366" s="846"/>
      <c r="I366" s="812"/>
      <c r="J366" s="812"/>
      <c r="K366" s="812"/>
      <c r="L366" s="812"/>
      <c r="M366" s="812"/>
      <c r="N366" s="812"/>
      <c r="O366" s="842"/>
      <c r="P366" s="901"/>
      <c r="Q366" s="812"/>
      <c r="R366" s="820"/>
      <c r="S366" s="812"/>
      <c r="T366" s="836"/>
      <c r="U366" s="836"/>
      <c r="V366" s="827"/>
      <c r="W366" s="68"/>
    </row>
    <row r="367" spans="1:23" s="1" customFormat="1" ht="27.75" customHeight="1">
      <c r="A367" s="71"/>
      <c r="B367" s="72"/>
      <c r="C367" s="892"/>
      <c r="D367" s="73"/>
      <c r="E367" s="848"/>
      <c r="F367" s="848"/>
      <c r="G367" s="847"/>
      <c r="H367" s="847"/>
      <c r="I367" s="813"/>
      <c r="J367" s="813"/>
      <c r="K367" s="813"/>
      <c r="L367" s="813"/>
      <c r="M367" s="813"/>
      <c r="N367" s="813"/>
      <c r="O367" s="843"/>
      <c r="P367" s="901"/>
      <c r="Q367" s="813"/>
      <c r="R367" s="821"/>
      <c r="S367" s="813"/>
      <c r="T367" s="837"/>
      <c r="U367" s="837"/>
      <c r="V367" s="828"/>
      <c r="W367" s="68"/>
    </row>
    <row r="368" spans="1:23" s="1" customFormat="1" ht="21.75" customHeight="1">
      <c r="A368" s="74">
        <v>1</v>
      </c>
      <c r="B368" s="75" t="s">
        <v>37</v>
      </c>
      <c r="C368" s="74" t="s">
        <v>118</v>
      </c>
      <c r="D368" s="74">
        <v>1</v>
      </c>
      <c r="E368" s="76">
        <v>8071</v>
      </c>
      <c r="F368" s="76">
        <v>16</v>
      </c>
      <c r="G368" s="77">
        <f>E368*D368</f>
        <v>8071</v>
      </c>
      <c r="H368" s="77">
        <f>G368*10%</f>
        <v>807.1</v>
      </c>
      <c r="I368" s="78"/>
      <c r="J368" s="78"/>
      <c r="K368" s="78"/>
      <c r="L368" s="78"/>
      <c r="M368" s="78">
        <f>(G368+H368+K368+L368)*20%</f>
        <v>1775.6200000000001</v>
      </c>
      <c r="N368" s="78"/>
      <c r="O368" s="78"/>
      <c r="P368" s="79">
        <f aca="true" t="shared" si="51" ref="P368:P375">(G368+H368+K368+L368)*10%</f>
        <v>887.8100000000001</v>
      </c>
      <c r="Q368" s="78"/>
      <c r="R368" s="78"/>
      <c r="S368" s="79"/>
      <c r="T368" s="80"/>
      <c r="U368" s="81">
        <f>G368+H368+I368+J368+K368+L368+M368+P368+Q368+R368+S368+T368</f>
        <v>11541.53</v>
      </c>
      <c r="V368" s="81">
        <f>(U368*12)*1.168+G368+G368*5%</f>
        <v>170240.63448</v>
      </c>
      <c r="W368" s="82"/>
    </row>
    <row r="369" spans="1:30" s="1" customFormat="1" ht="21.75" customHeight="1">
      <c r="A369" s="83">
        <v>2</v>
      </c>
      <c r="B369" s="84" t="s">
        <v>11</v>
      </c>
      <c r="C369" s="74" t="s">
        <v>119</v>
      </c>
      <c r="D369" s="83">
        <v>1</v>
      </c>
      <c r="E369" s="76">
        <v>7001</v>
      </c>
      <c r="F369" s="76">
        <v>14</v>
      </c>
      <c r="G369" s="77">
        <f>E369*D369</f>
        <v>7001</v>
      </c>
      <c r="H369" s="77">
        <f aca="true" t="shared" si="52" ref="H369:H384">G369*10%</f>
        <v>700.1</v>
      </c>
      <c r="I369" s="78"/>
      <c r="J369" s="85"/>
      <c r="K369" s="85"/>
      <c r="L369" s="85">
        <v>700.1</v>
      </c>
      <c r="M369" s="78">
        <f>(G369+H369+K369+L369)*30%</f>
        <v>2520.36</v>
      </c>
      <c r="N369" s="85"/>
      <c r="O369" s="85"/>
      <c r="P369" s="79">
        <f t="shared" si="51"/>
        <v>840.1200000000001</v>
      </c>
      <c r="Q369" s="85"/>
      <c r="R369" s="85"/>
      <c r="S369" s="79"/>
      <c r="T369" s="80"/>
      <c r="U369" s="81">
        <f>G369+H369+I369+J369+K369+L369+M369+P369+Q369+R369+S369+T369</f>
        <v>11761.680000000002</v>
      </c>
      <c r="V369" s="81">
        <f aca="true" t="shared" si="53" ref="V369:V397">(U369*12)*1.168+G369+G369*5%</f>
        <v>172202.75688000003</v>
      </c>
      <c r="W369" s="82"/>
      <c r="X369" s="899"/>
      <c r="Y369" s="899"/>
      <c r="Z369" s="899"/>
      <c r="AA369" s="899"/>
      <c r="AB369" s="899"/>
      <c r="AC369" s="899"/>
      <c r="AD369" s="899"/>
    </row>
    <row r="370" spans="1:23" s="1" customFormat="1" ht="13.5">
      <c r="A370" s="896">
        <v>3</v>
      </c>
      <c r="B370" s="859" t="s">
        <v>27</v>
      </c>
      <c r="C370" s="873" t="s">
        <v>120</v>
      </c>
      <c r="D370" s="83">
        <v>1</v>
      </c>
      <c r="E370" s="76">
        <v>6133</v>
      </c>
      <c r="F370" s="76">
        <v>12</v>
      </c>
      <c r="G370" s="77">
        <f aca="true" t="shared" si="54" ref="G370:G397">E370*D370</f>
        <v>6133</v>
      </c>
      <c r="H370" s="77">
        <f t="shared" si="52"/>
        <v>613.3000000000001</v>
      </c>
      <c r="I370" s="78"/>
      <c r="J370" s="85"/>
      <c r="K370" s="85">
        <f>G370*0.25*20%</f>
        <v>306.65000000000003</v>
      </c>
      <c r="L370" s="85">
        <f>G370*15%</f>
        <v>919.9499999999999</v>
      </c>
      <c r="M370" s="78">
        <f>(G370+H370+L370+K370)*30%</f>
        <v>2391.87</v>
      </c>
      <c r="N370" s="85"/>
      <c r="O370" s="85"/>
      <c r="P370" s="79">
        <f t="shared" si="51"/>
        <v>797.29</v>
      </c>
      <c r="Q370" s="85"/>
      <c r="R370" s="85"/>
      <c r="S370" s="79"/>
      <c r="T370" s="80"/>
      <c r="U370" s="81">
        <f aca="true" t="shared" si="55" ref="U370:U397">G370+H370+I370+J370+K370+L370+M370+P370+Q370+R370+S370+T370</f>
        <v>11162.060000000001</v>
      </c>
      <c r="V370" s="81">
        <f t="shared" si="53"/>
        <v>162887.08296000003</v>
      </c>
      <c r="W370" s="82"/>
    </row>
    <row r="371" spans="1:23" ht="18.75" customHeight="1">
      <c r="A371" s="897"/>
      <c r="B371" s="860"/>
      <c r="C371" s="825"/>
      <c r="D371" s="83">
        <v>0.5</v>
      </c>
      <c r="E371" s="76">
        <v>5005</v>
      </c>
      <c r="F371" s="76">
        <v>9</v>
      </c>
      <c r="G371" s="77">
        <f t="shared" si="54"/>
        <v>2502.5</v>
      </c>
      <c r="H371" s="77">
        <f t="shared" si="52"/>
        <v>250.25</v>
      </c>
      <c r="I371" s="78"/>
      <c r="J371" s="85"/>
      <c r="K371" s="85"/>
      <c r="L371" s="85"/>
      <c r="M371" s="78">
        <f>(G371+H371+K371+L371)*10%</f>
        <v>275.27500000000003</v>
      </c>
      <c r="N371" s="85"/>
      <c r="O371" s="85"/>
      <c r="P371" s="79">
        <f t="shared" si="51"/>
        <v>275.27500000000003</v>
      </c>
      <c r="Q371" s="85"/>
      <c r="R371" s="85"/>
      <c r="S371" s="79"/>
      <c r="T371" s="80">
        <v>46.69</v>
      </c>
      <c r="U371" s="81">
        <f t="shared" si="55"/>
        <v>3349.9900000000002</v>
      </c>
      <c r="V371" s="81">
        <f t="shared" si="53"/>
        <v>49581.08484</v>
      </c>
      <c r="W371" s="33"/>
    </row>
    <row r="372" spans="1:23" s="1" customFormat="1" ht="26.25" customHeight="1">
      <c r="A372" s="74">
        <v>4</v>
      </c>
      <c r="B372" s="86" t="s">
        <v>135</v>
      </c>
      <c r="C372" s="152">
        <v>3475</v>
      </c>
      <c r="D372" s="83">
        <v>0.75</v>
      </c>
      <c r="E372" s="76">
        <v>5005</v>
      </c>
      <c r="F372" s="76">
        <v>9</v>
      </c>
      <c r="G372" s="77">
        <f>E372*D372</f>
        <v>3753.75</v>
      </c>
      <c r="H372" s="77">
        <f t="shared" si="52"/>
        <v>375.375</v>
      </c>
      <c r="I372" s="78"/>
      <c r="J372" s="85"/>
      <c r="K372" s="85">
        <f>E372*0.125*20%</f>
        <v>125.125</v>
      </c>
      <c r="L372" s="85"/>
      <c r="M372" s="78">
        <f>(G372+H372+K372+L372)*10%</f>
        <v>425.425</v>
      </c>
      <c r="N372" s="85"/>
      <c r="O372" s="85"/>
      <c r="P372" s="79">
        <f>(G372+H372+K372+L372)*10%</f>
        <v>425.425</v>
      </c>
      <c r="Q372" s="85"/>
      <c r="R372" s="85"/>
      <c r="S372" s="79"/>
      <c r="T372" s="80"/>
      <c r="U372" s="81">
        <f t="shared" si="55"/>
        <v>5105.1</v>
      </c>
      <c r="V372" s="81">
        <f t="shared" si="53"/>
        <v>75494.5191</v>
      </c>
      <c r="W372" s="82"/>
    </row>
    <row r="373" spans="1:23" s="1" customFormat="1" ht="21.75" customHeight="1">
      <c r="A373" s="83">
        <v>5</v>
      </c>
      <c r="B373" s="84" t="s">
        <v>13</v>
      </c>
      <c r="C373" s="83" t="s">
        <v>121</v>
      </c>
      <c r="D373" s="83">
        <v>0.5</v>
      </c>
      <c r="E373" s="76">
        <v>5699</v>
      </c>
      <c r="F373" s="76">
        <v>11</v>
      </c>
      <c r="G373" s="77">
        <f t="shared" si="54"/>
        <v>2849.5</v>
      </c>
      <c r="H373" s="77">
        <f t="shared" si="52"/>
        <v>284.95</v>
      </c>
      <c r="I373" s="85"/>
      <c r="J373" s="85"/>
      <c r="K373" s="85"/>
      <c r="L373" s="85"/>
      <c r="M373" s="78">
        <f>(G373+H373+K373+L373)*10%</f>
        <v>313.445</v>
      </c>
      <c r="N373" s="85"/>
      <c r="O373" s="85"/>
      <c r="P373" s="79">
        <f t="shared" si="51"/>
        <v>313.445</v>
      </c>
      <c r="Q373" s="85"/>
      <c r="R373" s="85"/>
      <c r="S373" s="79"/>
      <c r="T373" s="80"/>
      <c r="U373" s="81">
        <f t="shared" si="55"/>
        <v>3761.34</v>
      </c>
      <c r="V373" s="81">
        <f t="shared" si="53"/>
        <v>55710.91644</v>
      </c>
      <c r="W373" s="82"/>
    </row>
    <row r="374" spans="1:23" ht="14.25" customHeight="1" hidden="1">
      <c r="A374" s="23">
        <v>6</v>
      </c>
      <c r="B374" s="12" t="s">
        <v>15</v>
      </c>
      <c r="C374" s="23"/>
      <c r="D374" s="23"/>
      <c r="E374" s="24">
        <v>4383</v>
      </c>
      <c r="F374" s="24">
        <v>11</v>
      </c>
      <c r="G374" s="25">
        <f t="shared" si="54"/>
        <v>0</v>
      </c>
      <c r="H374" s="25">
        <f t="shared" si="52"/>
        <v>0</v>
      </c>
      <c r="I374" s="17"/>
      <c r="J374" s="17"/>
      <c r="K374" s="17"/>
      <c r="L374" s="17"/>
      <c r="M374" s="16">
        <f>(G374+H374+K374+L374)*10%</f>
        <v>0</v>
      </c>
      <c r="N374" s="17"/>
      <c r="O374" s="17"/>
      <c r="P374" s="26">
        <f t="shared" si="51"/>
        <v>0</v>
      </c>
      <c r="Q374" s="17"/>
      <c r="R374" s="17"/>
      <c r="S374" s="26"/>
      <c r="T374" s="18">
        <f>6000*D374-G374-H374-J374-K374-L374-M374-P374</f>
        <v>0</v>
      </c>
      <c r="U374" s="19">
        <f t="shared" si="55"/>
        <v>0</v>
      </c>
      <c r="V374" s="81">
        <f t="shared" si="53"/>
        <v>0</v>
      </c>
      <c r="W374" s="33"/>
    </row>
    <row r="375" spans="1:23" ht="15" customHeight="1" hidden="1">
      <c r="A375" s="23"/>
      <c r="B375" s="12"/>
      <c r="C375" s="23"/>
      <c r="D375" s="23"/>
      <c r="E375" s="24"/>
      <c r="F375" s="24"/>
      <c r="G375" s="25">
        <f t="shared" si="54"/>
        <v>0</v>
      </c>
      <c r="H375" s="25">
        <f t="shared" si="52"/>
        <v>0</v>
      </c>
      <c r="I375" s="19"/>
      <c r="J375" s="17"/>
      <c r="K375" s="17"/>
      <c r="L375" s="17"/>
      <c r="M375" s="16">
        <f>(G375+H375+K375+L375)*10%</f>
        <v>0</v>
      </c>
      <c r="N375" s="17"/>
      <c r="O375" s="17"/>
      <c r="P375" s="26">
        <f t="shared" si="51"/>
        <v>0</v>
      </c>
      <c r="Q375" s="17"/>
      <c r="R375" s="17"/>
      <c r="S375" s="16"/>
      <c r="T375" s="18">
        <f>6000*D375-G375-H375-J375-K375-L375-M375-P375</f>
        <v>0</v>
      </c>
      <c r="U375" s="19">
        <f t="shared" si="55"/>
        <v>0</v>
      </c>
      <c r="V375" s="81">
        <f t="shared" si="53"/>
        <v>0</v>
      </c>
      <c r="W375" s="33"/>
    </row>
    <row r="376" spans="1:23" s="1" customFormat="1" ht="30.75" customHeight="1">
      <c r="A376" s="83">
        <v>6</v>
      </c>
      <c r="B376" s="180" t="s">
        <v>129</v>
      </c>
      <c r="C376" s="83">
        <v>3231</v>
      </c>
      <c r="D376" s="83">
        <v>1</v>
      </c>
      <c r="E376" s="76">
        <v>4195</v>
      </c>
      <c r="F376" s="76">
        <v>6</v>
      </c>
      <c r="G376" s="77">
        <f t="shared" si="54"/>
        <v>4195</v>
      </c>
      <c r="H376" s="77"/>
      <c r="I376" s="78"/>
      <c r="J376" s="85"/>
      <c r="K376" s="85"/>
      <c r="L376" s="85">
        <f>E376*D376*10%</f>
        <v>419.5</v>
      </c>
      <c r="M376" s="78">
        <f>(G376+H376+L376)*20%</f>
        <v>922.9000000000001</v>
      </c>
      <c r="N376" s="85"/>
      <c r="O376" s="85"/>
      <c r="P376" s="78"/>
      <c r="Q376" s="85"/>
      <c r="R376" s="85"/>
      <c r="S376" s="78"/>
      <c r="T376" s="80">
        <f>6700*D376-G376-H376-J376-K376-L376-M376-P376</f>
        <v>1162.6</v>
      </c>
      <c r="U376" s="81">
        <f>G376+H376+I376+J376+K376+L376+M376+P376+Q376+R376+S376+T376</f>
        <v>6700</v>
      </c>
      <c r="V376" s="81">
        <f t="shared" si="53"/>
        <v>98311.95</v>
      </c>
      <c r="W376" s="82"/>
    </row>
    <row r="377" spans="1:23" ht="19.5" customHeight="1" hidden="1">
      <c r="A377" s="23">
        <v>8</v>
      </c>
      <c r="B377" s="21" t="s">
        <v>29</v>
      </c>
      <c r="C377" s="167"/>
      <c r="D377" s="23"/>
      <c r="E377" s="24">
        <v>3226</v>
      </c>
      <c r="F377" s="24">
        <v>6</v>
      </c>
      <c r="G377" s="25">
        <f t="shared" si="54"/>
        <v>0</v>
      </c>
      <c r="H377" s="25"/>
      <c r="I377" s="16"/>
      <c r="J377" s="17"/>
      <c r="K377" s="17"/>
      <c r="L377" s="17"/>
      <c r="M377" s="16">
        <f>(G377+H377+L377)*20%</f>
        <v>0</v>
      </c>
      <c r="N377" s="17"/>
      <c r="O377" s="17"/>
      <c r="P377" s="16"/>
      <c r="Q377" s="17"/>
      <c r="R377" s="17"/>
      <c r="S377" s="16"/>
      <c r="T377" s="18">
        <f>6500*D377-G377-H377-J377-K377-L377-M377-P377</f>
        <v>0</v>
      </c>
      <c r="U377" s="19">
        <f>G377+H377+I377+J377+K377+L377+M377+P377+Q377+R377+S377+T377</f>
        <v>0</v>
      </c>
      <c r="V377" s="81">
        <f t="shared" si="53"/>
        <v>0</v>
      </c>
      <c r="W377" s="33"/>
    </row>
    <row r="378" spans="1:23" ht="21.75" customHeight="1" hidden="1">
      <c r="A378" s="23">
        <v>9</v>
      </c>
      <c r="B378" s="21" t="s">
        <v>28</v>
      </c>
      <c r="C378" s="167"/>
      <c r="D378" s="23"/>
      <c r="E378" s="24">
        <v>3427</v>
      </c>
      <c r="F378" s="24">
        <v>7</v>
      </c>
      <c r="G378" s="25">
        <f>E378*D378</f>
        <v>0</v>
      </c>
      <c r="H378" s="25"/>
      <c r="I378" s="16"/>
      <c r="J378" s="17"/>
      <c r="K378" s="17"/>
      <c r="L378" s="17"/>
      <c r="M378" s="16">
        <f>(G378+H378+L378)*20%</f>
        <v>0</v>
      </c>
      <c r="N378" s="17"/>
      <c r="O378" s="17"/>
      <c r="P378" s="16"/>
      <c r="Q378" s="17"/>
      <c r="R378" s="17"/>
      <c r="S378" s="16"/>
      <c r="T378" s="18">
        <f>6500*D378-G378-H378-J378-K378-L378-M378-P378</f>
        <v>0</v>
      </c>
      <c r="U378" s="19">
        <f>G378+H378+I378+J378+K378+L378+M378+P378+Q378+R378+S378+T378</f>
        <v>0</v>
      </c>
      <c r="V378" s="81">
        <f t="shared" si="53"/>
        <v>0</v>
      </c>
      <c r="W378" s="33"/>
    </row>
    <row r="379" spans="1:25" s="1" customFormat="1" ht="48" customHeight="1">
      <c r="A379" s="83">
        <v>7</v>
      </c>
      <c r="B379" s="86" t="s">
        <v>160</v>
      </c>
      <c r="C379" s="152">
        <v>2332</v>
      </c>
      <c r="D379" s="83">
        <v>2</v>
      </c>
      <c r="E379" s="76">
        <v>7001</v>
      </c>
      <c r="F379" s="87" t="s">
        <v>42</v>
      </c>
      <c r="G379" s="77">
        <f>E379*D379</f>
        <v>14002</v>
      </c>
      <c r="H379" s="77">
        <f t="shared" si="52"/>
        <v>1400.2</v>
      </c>
      <c r="I379" s="78"/>
      <c r="J379" s="85"/>
      <c r="K379" s="85">
        <v>1400.2</v>
      </c>
      <c r="L379" s="85">
        <f>E379*15%</f>
        <v>1050.1499999999999</v>
      </c>
      <c r="M379" s="78">
        <v>5355.77</v>
      </c>
      <c r="N379" s="85"/>
      <c r="O379" s="85"/>
      <c r="P379" s="78">
        <v>1785.26</v>
      </c>
      <c r="Q379" s="85"/>
      <c r="R379" s="85"/>
      <c r="S379" s="78"/>
      <c r="T379" s="80"/>
      <c r="U379" s="81">
        <f t="shared" si="55"/>
        <v>24993.58</v>
      </c>
      <c r="V379" s="81">
        <f t="shared" si="53"/>
        <v>365012.11728</v>
      </c>
      <c r="W379" s="82"/>
      <c r="Y379" s="88"/>
    </row>
    <row r="380" spans="1:23" s="1" customFormat="1" ht="46.5" customHeight="1">
      <c r="A380" s="83">
        <v>8</v>
      </c>
      <c r="B380" s="86" t="s">
        <v>159</v>
      </c>
      <c r="C380" s="152">
        <v>2332</v>
      </c>
      <c r="D380" s="83">
        <v>1</v>
      </c>
      <c r="E380" s="76">
        <v>6567</v>
      </c>
      <c r="F380" s="89" t="s">
        <v>45</v>
      </c>
      <c r="G380" s="77">
        <f t="shared" si="54"/>
        <v>6567</v>
      </c>
      <c r="H380" s="77">
        <f t="shared" si="52"/>
        <v>656.7</v>
      </c>
      <c r="I380" s="78"/>
      <c r="J380" s="85"/>
      <c r="K380" s="85"/>
      <c r="L380" s="85"/>
      <c r="M380" s="78">
        <f>(G380+H380+L380+K380)*30%</f>
        <v>2167.1099999999997</v>
      </c>
      <c r="N380" s="85"/>
      <c r="O380" s="85"/>
      <c r="P380" s="78">
        <f>(G380+H380+K380+L380)*10%</f>
        <v>722.37</v>
      </c>
      <c r="Q380" s="85"/>
      <c r="R380" s="85"/>
      <c r="S380" s="78"/>
      <c r="T380" s="80"/>
      <c r="U380" s="81">
        <f t="shared" si="55"/>
        <v>10113.18</v>
      </c>
      <c r="V380" s="81">
        <f t="shared" si="53"/>
        <v>148641.68088</v>
      </c>
      <c r="W380" s="82"/>
    </row>
    <row r="381" spans="1:23" ht="15" customHeight="1" hidden="1">
      <c r="A381" s="23">
        <v>9</v>
      </c>
      <c r="B381" s="21" t="s">
        <v>44</v>
      </c>
      <c r="C381" s="167"/>
      <c r="D381" s="23"/>
      <c r="E381" s="24"/>
      <c r="F381" s="24"/>
      <c r="G381" s="25">
        <f t="shared" si="54"/>
        <v>0</v>
      </c>
      <c r="H381" s="25">
        <f t="shared" si="52"/>
        <v>0</v>
      </c>
      <c r="I381" s="16"/>
      <c r="J381" s="17"/>
      <c r="K381" s="17"/>
      <c r="L381" s="17"/>
      <c r="M381" s="17"/>
      <c r="N381" s="17"/>
      <c r="O381" s="17"/>
      <c r="P381" s="16">
        <f>(G381+H381+K381+L381)*10%</f>
        <v>0</v>
      </c>
      <c r="Q381" s="17"/>
      <c r="R381" s="17"/>
      <c r="S381" s="17"/>
      <c r="T381" s="18"/>
      <c r="U381" s="19">
        <f t="shared" si="55"/>
        <v>0</v>
      </c>
      <c r="V381" s="81">
        <f t="shared" si="53"/>
        <v>0</v>
      </c>
      <c r="W381" s="33"/>
    </row>
    <row r="382" spans="1:23" s="1" customFormat="1" ht="15" customHeight="1" hidden="1">
      <c r="A382" s="83">
        <v>9</v>
      </c>
      <c r="B382" s="86" t="s">
        <v>46</v>
      </c>
      <c r="C382" s="152">
        <v>2332</v>
      </c>
      <c r="D382" s="83"/>
      <c r="E382" s="76"/>
      <c r="F382" s="76"/>
      <c r="G382" s="77"/>
      <c r="H382" s="77"/>
      <c r="I382" s="78"/>
      <c r="J382" s="85"/>
      <c r="K382" s="85"/>
      <c r="L382" s="85"/>
      <c r="M382" s="85"/>
      <c r="N382" s="85"/>
      <c r="O382" s="85"/>
      <c r="P382" s="78"/>
      <c r="Q382" s="85"/>
      <c r="R382" s="85"/>
      <c r="S382" s="85"/>
      <c r="T382" s="80"/>
      <c r="U382" s="81">
        <f t="shared" si="55"/>
        <v>0</v>
      </c>
      <c r="V382" s="81">
        <f t="shared" si="53"/>
        <v>0</v>
      </c>
      <c r="W382" s="82"/>
    </row>
    <row r="383" spans="1:23" s="1" customFormat="1" ht="30" customHeight="1">
      <c r="A383" s="83">
        <v>9</v>
      </c>
      <c r="B383" s="86" t="s">
        <v>158</v>
      </c>
      <c r="C383" s="152">
        <v>2332</v>
      </c>
      <c r="D383" s="83">
        <v>9.75</v>
      </c>
      <c r="E383" s="76">
        <v>5699</v>
      </c>
      <c r="F383" s="76">
        <v>11</v>
      </c>
      <c r="G383" s="77">
        <f>E383*D383</f>
        <v>55565.25</v>
      </c>
      <c r="H383" s="77">
        <f t="shared" si="52"/>
        <v>5556.525000000001</v>
      </c>
      <c r="I383" s="78"/>
      <c r="J383" s="85"/>
      <c r="K383" s="85">
        <f>1139.8</f>
        <v>1139.8</v>
      </c>
      <c r="L383" s="85"/>
      <c r="M383" s="85">
        <v>7992.85</v>
      </c>
      <c r="N383" s="85"/>
      <c r="O383" s="85"/>
      <c r="P383" s="78">
        <v>6226.16</v>
      </c>
      <c r="Q383" s="85"/>
      <c r="R383" s="85"/>
      <c r="S383" s="85"/>
      <c r="T383" s="80"/>
      <c r="U383" s="81">
        <f>G383+H383+I383+J383+K383+L383+M383+P383+Q383+R383+S383+T383</f>
        <v>76480.585</v>
      </c>
      <c r="V383" s="185">
        <f t="shared" si="53"/>
        <v>1130295.3918599999</v>
      </c>
      <c r="W383" s="82"/>
    </row>
    <row r="384" spans="1:23" ht="15" customHeight="1" hidden="1">
      <c r="A384" s="23"/>
      <c r="B384" s="21"/>
      <c r="C384" s="167"/>
      <c r="D384" s="23"/>
      <c r="E384" s="24"/>
      <c r="F384" s="24"/>
      <c r="G384" s="25">
        <f t="shared" si="54"/>
        <v>0</v>
      </c>
      <c r="H384" s="25">
        <f t="shared" si="52"/>
        <v>0</v>
      </c>
      <c r="I384" s="16"/>
      <c r="J384" s="17"/>
      <c r="K384" s="17"/>
      <c r="L384" s="17"/>
      <c r="M384" s="17"/>
      <c r="N384" s="17"/>
      <c r="O384" s="17"/>
      <c r="P384" s="16">
        <f>(G384+H384+K384+L384)*10%</f>
        <v>0</v>
      </c>
      <c r="Q384" s="17"/>
      <c r="R384" s="17"/>
      <c r="S384" s="17"/>
      <c r="T384" s="18">
        <f>6500*D384-G384-H384-J384-K384-L384-M384-P384</f>
        <v>0</v>
      </c>
      <c r="U384" s="19">
        <f>G384+H384+I384+J384+K384+L384+M384+P384+Q384+R384+S384+T384</f>
        <v>0</v>
      </c>
      <c r="V384" s="81">
        <f t="shared" si="53"/>
        <v>0</v>
      </c>
      <c r="W384" s="33"/>
    </row>
    <row r="385" spans="1:23" s="1" customFormat="1" ht="32.25" customHeight="1">
      <c r="A385" s="83">
        <v>10</v>
      </c>
      <c r="B385" s="179" t="s">
        <v>136</v>
      </c>
      <c r="C385" s="173">
        <v>3330</v>
      </c>
      <c r="D385" s="152">
        <v>1</v>
      </c>
      <c r="E385" s="76">
        <v>5265</v>
      </c>
      <c r="F385" s="76">
        <v>10</v>
      </c>
      <c r="G385" s="77">
        <v>5265</v>
      </c>
      <c r="H385" s="77">
        <v>526.5</v>
      </c>
      <c r="I385" s="78"/>
      <c r="J385" s="85"/>
      <c r="K385" s="118">
        <f>G385*20%</f>
        <v>1053</v>
      </c>
      <c r="L385" s="118"/>
      <c r="M385" s="118">
        <f>(G385+H385+K385)*10%</f>
        <v>684.45</v>
      </c>
      <c r="N385" s="118"/>
      <c r="O385" s="118"/>
      <c r="P385" s="119">
        <f>(G385+H385+K385)*10%</f>
        <v>684.45</v>
      </c>
      <c r="Q385" s="118"/>
      <c r="R385" s="118"/>
      <c r="S385" s="118"/>
      <c r="T385" s="120"/>
      <c r="U385" s="119">
        <f>G385+H385+I385+J385+K385+L385+M385+P385+Q385+R385+S385+T385</f>
        <v>8213.4</v>
      </c>
      <c r="V385" s="81">
        <f t="shared" si="53"/>
        <v>120647.26439999999</v>
      </c>
      <c r="W385" s="82"/>
    </row>
    <row r="386" spans="1:23" s="1" customFormat="1" ht="36.75" customHeight="1">
      <c r="A386" s="83">
        <v>11</v>
      </c>
      <c r="B386" s="86" t="s">
        <v>25</v>
      </c>
      <c r="C386" s="152">
        <v>5131</v>
      </c>
      <c r="D386" s="83">
        <v>5</v>
      </c>
      <c r="E386" s="76">
        <v>4195</v>
      </c>
      <c r="F386" s="76">
        <v>6</v>
      </c>
      <c r="G386" s="77">
        <f>E386*D386</f>
        <v>20975</v>
      </c>
      <c r="H386" s="77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0">
        <f>6700*D386-G386-H386-J386-K386-L386-M386-P386</f>
        <v>12525</v>
      </c>
      <c r="U386" s="81">
        <f t="shared" si="55"/>
        <v>33500</v>
      </c>
      <c r="V386" s="81">
        <f t="shared" si="53"/>
        <v>491559.74999999994</v>
      </c>
      <c r="W386" s="82"/>
    </row>
    <row r="387" spans="1:23" s="1" customFormat="1" ht="33" customHeight="1">
      <c r="A387" s="83">
        <v>12</v>
      </c>
      <c r="B387" s="86" t="s">
        <v>17</v>
      </c>
      <c r="C387" s="152">
        <v>5131</v>
      </c>
      <c r="D387" s="83">
        <v>3</v>
      </c>
      <c r="E387" s="76">
        <v>4195</v>
      </c>
      <c r="F387" s="76">
        <v>6</v>
      </c>
      <c r="G387" s="77">
        <f t="shared" si="54"/>
        <v>12585</v>
      </c>
      <c r="H387" s="77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0">
        <f aca="true" t="shared" si="56" ref="T387:T397">6700*D387-G387-H387-J387-K387-L387-M387-P387</f>
        <v>7515</v>
      </c>
      <c r="U387" s="81">
        <f t="shared" si="55"/>
        <v>20100</v>
      </c>
      <c r="V387" s="81">
        <f t="shared" si="53"/>
        <v>294935.85</v>
      </c>
      <c r="W387" s="82"/>
    </row>
    <row r="388" spans="1:23" s="1" customFormat="1" ht="13.5">
      <c r="A388" s="83">
        <v>13</v>
      </c>
      <c r="B388" s="84" t="s">
        <v>122</v>
      </c>
      <c r="C388" s="83">
        <v>1239</v>
      </c>
      <c r="D388" s="83">
        <v>1</v>
      </c>
      <c r="E388" s="76">
        <v>4745</v>
      </c>
      <c r="F388" s="76">
        <v>8</v>
      </c>
      <c r="G388" s="77">
        <f t="shared" si="54"/>
        <v>4745</v>
      </c>
      <c r="H388" s="77"/>
      <c r="I388" s="85"/>
      <c r="J388" s="85">
        <f>E388*50%</f>
        <v>2372.5</v>
      </c>
      <c r="K388" s="85"/>
      <c r="L388" s="85"/>
      <c r="M388" s="85"/>
      <c r="N388" s="85"/>
      <c r="O388" s="85"/>
      <c r="P388" s="85"/>
      <c r="Q388" s="85"/>
      <c r="R388" s="85"/>
      <c r="S388" s="85"/>
      <c r="T388" s="80"/>
      <c r="U388" s="81">
        <f t="shared" si="55"/>
        <v>7117.5</v>
      </c>
      <c r="V388" s="81">
        <f t="shared" si="53"/>
        <v>104741.12999999999</v>
      </c>
      <c r="W388" s="82"/>
    </row>
    <row r="389" spans="1:23" s="1" customFormat="1" ht="13.5">
      <c r="A389" s="83">
        <v>14</v>
      </c>
      <c r="B389" s="84" t="s">
        <v>8</v>
      </c>
      <c r="C389" s="83">
        <v>5122</v>
      </c>
      <c r="D389" s="83">
        <v>2</v>
      </c>
      <c r="E389" s="76">
        <v>3934</v>
      </c>
      <c r="F389" s="76">
        <v>5</v>
      </c>
      <c r="G389" s="77">
        <f t="shared" si="54"/>
        <v>7868</v>
      </c>
      <c r="H389" s="77"/>
      <c r="I389" s="85"/>
      <c r="J389" s="85">
        <f>E389*20%</f>
        <v>786.8000000000001</v>
      </c>
      <c r="K389" s="85"/>
      <c r="L389" s="85"/>
      <c r="M389" s="85"/>
      <c r="N389" s="85"/>
      <c r="O389" s="85"/>
      <c r="P389" s="85"/>
      <c r="Q389" s="85"/>
      <c r="R389" s="85">
        <f>G389*12%</f>
        <v>944.16</v>
      </c>
      <c r="S389" s="85"/>
      <c r="T389" s="80">
        <f t="shared" si="56"/>
        <v>4745.2</v>
      </c>
      <c r="U389" s="81">
        <f t="shared" si="55"/>
        <v>14344.16</v>
      </c>
      <c r="V389" s="81">
        <f t="shared" si="53"/>
        <v>209309.14655999996</v>
      </c>
      <c r="W389" s="82"/>
    </row>
    <row r="390" spans="1:23" s="1" customFormat="1" ht="21.75" customHeight="1">
      <c r="A390" s="83">
        <v>15</v>
      </c>
      <c r="B390" s="178" t="s">
        <v>128</v>
      </c>
      <c r="C390" s="163">
        <v>9132</v>
      </c>
      <c r="D390" s="152">
        <v>1.5</v>
      </c>
      <c r="E390" s="76">
        <v>2893</v>
      </c>
      <c r="F390" s="76">
        <v>1</v>
      </c>
      <c r="G390" s="77">
        <f t="shared" si="54"/>
        <v>4339.5</v>
      </c>
      <c r="H390" s="77"/>
      <c r="I390" s="85"/>
      <c r="J390" s="85"/>
      <c r="K390" s="85"/>
      <c r="L390" s="85"/>
      <c r="M390" s="85"/>
      <c r="N390" s="85"/>
      <c r="O390" s="85"/>
      <c r="P390" s="85"/>
      <c r="Q390" s="118"/>
      <c r="R390" s="118">
        <f>G390*12%</f>
        <v>520.74</v>
      </c>
      <c r="S390" s="118"/>
      <c r="T390" s="120">
        <f t="shared" si="56"/>
        <v>5710.5</v>
      </c>
      <c r="U390" s="81">
        <f t="shared" si="55"/>
        <v>10570.74</v>
      </c>
      <c r="V390" s="81">
        <f t="shared" si="53"/>
        <v>152715.96684</v>
      </c>
      <c r="W390" s="82"/>
    </row>
    <row r="391" spans="1:23" s="1" customFormat="1" ht="9" customHeight="1" hidden="1">
      <c r="A391" s="83">
        <v>18</v>
      </c>
      <c r="B391" s="84" t="s">
        <v>23</v>
      </c>
      <c r="C391" s="83"/>
      <c r="D391" s="152"/>
      <c r="E391" s="76"/>
      <c r="F391" s="76"/>
      <c r="G391" s="77">
        <f t="shared" si="54"/>
        <v>0</v>
      </c>
      <c r="H391" s="77"/>
      <c r="I391" s="85"/>
      <c r="J391" s="85"/>
      <c r="K391" s="85"/>
      <c r="L391" s="85"/>
      <c r="M391" s="85"/>
      <c r="N391" s="85"/>
      <c r="O391" s="85"/>
      <c r="P391" s="85"/>
      <c r="Q391" s="118"/>
      <c r="R391" s="118">
        <f>G391*12%</f>
        <v>0</v>
      </c>
      <c r="S391" s="118"/>
      <c r="T391" s="120">
        <f t="shared" si="56"/>
        <v>0</v>
      </c>
      <c r="U391" s="81">
        <f t="shared" si="55"/>
        <v>0</v>
      </c>
      <c r="V391" s="81">
        <f t="shared" si="53"/>
        <v>0</v>
      </c>
      <c r="W391" s="82"/>
    </row>
    <row r="392" spans="1:29" s="1" customFormat="1" ht="36" customHeight="1">
      <c r="A392" s="83">
        <v>16</v>
      </c>
      <c r="B392" s="86" t="s">
        <v>24</v>
      </c>
      <c r="C392" s="152">
        <v>8264</v>
      </c>
      <c r="D392" s="152">
        <v>1.5</v>
      </c>
      <c r="E392" s="76">
        <v>3153</v>
      </c>
      <c r="F392" s="76">
        <v>2</v>
      </c>
      <c r="G392" s="77">
        <f>E392*D392</f>
        <v>4729.5</v>
      </c>
      <c r="H392" s="77"/>
      <c r="I392" s="85"/>
      <c r="J392" s="85"/>
      <c r="K392" s="85"/>
      <c r="L392" s="85"/>
      <c r="M392" s="85"/>
      <c r="N392" s="85"/>
      <c r="O392" s="85"/>
      <c r="P392" s="85"/>
      <c r="Q392" s="118"/>
      <c r="R392" s="118">
        <f>G392*12%</f>
        <v>567.54</v>
      </c>
      <c r="S392" s="118"/>
      <c r="T392" s="120">
        <f t="shared" si="56"/>
        <v>5320.5</v>
      </c>
      <c r="U392" s="81">
        <f t="shared" si="55"/>
        <v>10617.54</v>
      </c>
      <c r="V392" s="81">
        <f t="shared" si="53"/>
        <v>153781.41564000002</v>
      </c>
      <c r="W392" s="82"/>
      <c r="AC392" s="116"/>
    </row>
    <row r="393" spans="1:23" s="1" customFormat="1" ht="45.75" customHeight="1">
      <c r="A393" s="83">
        <v>17</v>
      </c>
      <c r="B393" s="86" t="s">
        <v>142</v>
      </c>
      <c r="C393" s="152">
        <v>7129</v>
      </c>
      <c r="D393" s="152">
        <v>1</v>
      </c>
      <c r="E393" s="76">
        <v>3674</v>
      </c>
      <c r="F393" s="76">
        <v>4</v>
      </c>
      <c r="G393" s="77">
        <f>E393*D393</f>
        <v>3674</v>
      </c>
      <c r="H393" s="77"/>
      <c r="I393" s="85"/>
      <c r="J393" s="85"/>
      <c r="K393" s="85"/>
      <c r="L393" s="85"/>
      <c r="M393" s="85"/>
      <c r="N393" s="85"/>
      <c r="O393" s="85"/>
      <c r="P393" s="85"/>
      <c r="Q393" s="118"/>
      <c r="R393" s="118"/>
      <c r="S393" s="118"/>
      <c r="T393" s="120">
        <f t="shared" si="56"/>
        <v>3026</v>
      </c>
      <c r="U393" s="81">
        <f t="shared" si="55"/>
        <v>6700</v>
      </c>
      <c r="V393" s="81">
        <f t="shared" si="53"/>
        <v>97764.9</v>
      </c>
      <c r="W393" s="82"/>
    </row>
    <row r="394" spans="1:23" s="1" customFormat="1" ht="37.5" customHeight="1">
      <c r="A394" s="83">
        <v>18</v>
      </c>
      <c r="B394" s="86" t="s">
        <v>88</v>
      </c>
      <c r="C394" s="152">
        <v>9132</v>
      </c>
      <c r="D394" s="152">
        <v>1</v>
      </c>
      <c r="E394" s="76">
        <v>3153</v>
      </c>
      <c r="F394" s="76">
        <v>2</v>
      </c>
      <c r="G394" s="77">
        <f t="shared" si="54"/>
        <v>3153</v>
      </c>
      <c r="H394" s="77"/>
      <c r="I394" s="85"/>
      <c r="J394" s="85"/>
      <c r="K394" s="85"/>
      <c r="L394" s="85"/>
      <c r="M394" s="85"/>
      <c r="N394" s="85"/>
      <c r="O394" s="85"/>
      <c r="P394" s="85"/>
      <c r="Q394" s="118">
        <f>G394*10%</f>
        <v>315.3</v>
      </c>
      <c r="R394" s="118"/>
      <c r="S394" s="118"/>
      <c r="T394" s="120">
        <f t="shared" si="56"/>
        <v>3547</v>
      </c>
      <c r="U394" s="81">
        <f t="shared" si="55"/>
        <v>7015.3</v>
      </c>
      <c r="V394" s="81">
        <f t="shared" si="53"/>
        <v>101637.09479999999</v>
      </c>
      <c r="W394" s="82"/>
    </row>
    <row r="395" spans="1:23" s="1" customFormat="1" ht="13.5">
      <c r="A395" s="83">
        <v>19</v>
      </c>
      <c r="B395" s="84" t="s">
        <v>10</v>
      </c>
      <c r="C395" s="83">
        <v>9152</v>
      </c>
      <c r="D395" s="83">
        <v>2.75</v>
      </c>
      <c r="E395" s="76">
        <v>3153</v>
      </c>
      <c r="F395" s="76">
        <v>2</v>
      </c>
      <c r="G395" s="77">
        <f t="shared" si="54"/>
        <v>8670.75</v>
      </c>
      <c r="H395" s="77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>
        <f>G395*40%</f>
        <v>3468.3</v>
      </c>
      <c r="T395" s="80">
        <f t="shared" si="56"/>
        <v>9754.25</v>
      </c>
      <c r="U395" s="81">
        <f t="shared" si="55"/>
        <v>21893.3</v>
      </c>
      <c r="V395" s="81">
        <f t="shared" si="53"/>
        <v>315960.7802999999</v>
      </c>
      <c r="W395" s="82"/>
    </row>
    <row r="396" spans="1:23" s="1" customFormat="1" ht="13.5">
      <c r="A396" s="83">
        <v>20</v>
      </c>
      <c r="B396" s="84" t="s">
        <v>9</v>
      </c>
      <c r="C396" s="83">
        <v>9162</v>
      </c>
      <c r="D396" s="83">
        <v>1</v>
      </c>
      <c r="E396" s="76">
        <v>2893</v>
      </c>
      <c r="F396" s="76">
        <v>1</v>
      </c>
      <c r="G396" s="77">
        <f t="shared" si="54"/>
        <v>2893</v>
      </c>
      <c r="H396" s="77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0">
        <f t="shared" si="56"/>
        <v>3807</v>
      </c>
      <c r="U396" s="81">
        <f t="shared" si="55"/>
        <v>6700</v>
      </c>
      <c r="V396" s="81">
        <f t="shared" si="53"/>
        <v>96944.84999999999</v>
      </c>
      <c r="W396" s="82"/>
    </row>
    <row r="397" spans="1:24" s="1" customFormat="1" ht="13.5">
      <c r="A397" s="83">
        <v>21</v>
      </c>
      <c r="B397" s="84" t="s">
        <v>12</v>
      </c>
      <c r="C397" s="83">
        <v>4132</v>
      </c>
      <c r="D397" s="83">
        <v>0.25</v>
      </c>
      <c r="E397" s="76">
        <v>3153</v>
      </c>
      <c r="F397" s="76">
        <v>2</v>
      </c>
      <c r="G397" s="77">
        <f t="shared" si="54"/>
        <v>788.25</v>
      </c>
      <c r="H397" s="77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0">
        <f t="shared" si="56"/>
        <v>886.75</v>
      </c>
      <c r="U397" s="81">
        <f t="shared" si="55"/>
        <v>1675</v>
      </c>
      <c r="V397" s="81">
        <f t="shared" si="53"/>
        <v>24304.462499999998</v>
      </c>
      <c r="W397" s="82"/>
      <c r="X397" s="3"/>
    </row>
    <row r="398" spans="1:24" s="1" customFormat="1" ht="13.5">
      <c r="A398" s="84"/>
      <c r="B398" s="84" t="s">
        <v>6</v>
      </c>
      <c r="C398" s="83"/>
      <c r="D398" s="91">
        <f>SUM(D368:D397)</f>
        <v>39.5</v>
      </c>
      <c r="E398" s="91"/>
      <c r="F398" s="91"/>
      <c r="G398" s="91">
        <f>SUM(G368:G397)</f>
        <v>190326</v>
      </c>
      <c r="H398" s="91">
        <f>SUM(H368:H397)</f>
        <v>11171</v>
      </c>
      <c r="I398" s="85">
        <f>SUM(I368:I397)</f>
        <v>0</v>
      </c>
      <c r="J398" s="85">
        <f aca="true" t="shared" si="57" ref="J398:U398">SUM(J368:J397)</f>
        <v>3159.3</v>
      </c>
      <c r="K398" s="85">
        <f t="shared" si="57"/>
        <v>4024.775</v>
      </c>
      <c r="L398" s="85">
        <f t="shared" si="57"/>
        <v>3089.7</v>
      </c>
      <c r="M398" s="85">
        <f>SUM(M368:M397)</f>
        <v>24825.075</v>
      </c>
      <c r="N398" s="85">
        <f>SUM(N368:N397)</f>
        <v>0</v>
      </c>
      <c r="O398" s="85">
        <f>SUM(O368:O397)</f>
        <v>0</v>
      </c>
      <c r="P398" s="85">
        <f>SUM(P368:P397)</f>
        <v>12957.605000000001</v>
      </c>
      <c r="Q398" s="85">
        <f t="shared" si="57"/>
        <v>315.3</v>
      </c>
      <c r="R398" s="85">
        <f t="shared" si="57"/>
        <v>2032.44</v>
      </c>
      <c r="S398" s="85">
        <f t="shared" si="57"/>
        <v>3468.3</v>
      </c>
      <c r="T398" s="92">
        <f t="shared" si="57"/>
        <v>58046.490000000005</v>
      </c>
      <c r="U398" s="85">
        <f t="shared" si="57"/>
        <v>313415.9849999999</v>
      </c>
      <c r="V398" s="140">
        <f>SUM(V368:V397)</f>
        <v>4592680.74576</v>
      </c>
      <c r="W398" s="82"/>
      <c r="X398" s="3"/>
    </row>
    <row r="399" spans="1:20" s="1" customFormat="1" ht="14.25" customHeight="1">
      <c r="A399" s="3"/>
      <c r="B399" s="3"/>
      <c r="C399" s="16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3"/>
      <c r="N399" s="3"/>
      <c r="O399" s="3"/>
      <c r="P399" s="3"/>
      <c r="Q399" s="113"/>
      <c r="R399" s="3"/>
      <c r="S399" s="3"/>
      <c r="T399" s="3"/>
    </row>
    <row r="400" spans="1:21" ht="14.25" customHeight="1">
      <c r="A400" s="6"/>
      <c r="B400" s="6"/>
      <c r="C400" s="166"/>
      <c r="D400" s="39"/>
      <c r="E400" s="39"/>
      <c r="F400" s="194" t="s">
        <v>169</v>
      </c>
      <c r="G400" s="112"/>
      <c r="H400" s="112"/>
      <c r="I400" s="112"/>
      <c r="J400" s="112"/>
      <c r="K400" s="112"/>
      <c r="L400" s="112"/>
      <c r="M400" s="113"/>
      <c r="N400" s="3"/>
      <c r="O400" s="3"/>
      <c r="P400" s="3" t="s">
        <v>170</v>
      </c>
      <c r="Q400" s="113"/>
      <c r="R400" s="6"/>
      <c r="S400" s="6"/>
      <c r="T400" s="6"/>
      <c r="U400" s="28"/>
    </row>
    <row r="401" spans="1:23" ht="15">
      <c r="A401" s="31"/>
      <c r="B401" s="93"/>
      <c r="C401" s="802"/>
      <c r="D401" s="802"/>
      <c r="E401" s="802"/>
      <c r="F401" s="802"/>
      <c r="G401" s="802"/>
      <c r="H401" s="802"/>
      <c r="I401" s="802"/>
      <c r="J401" s="802"/>
      <c r="K401" s="802"/>
      <c r="L401" s="94"/>
      <c r="M401" s="94"/>
      <c r="N401" s="94"/>
      <c r="O401" s="94"/>
      <c r="P401" s="94"/>
      <c r="Q401" s="94"/>
      <c r="R401" s="82"/>
      <c r="S401" s="82"/>
      <c r="T401" s="33"/>
      <c r="U401" s="33"/>
      <c r="V401" s="33"/>
      <c r="W401" s="33"/>
    </row>
    <row r="402" spans="1:23" ht="15">
      <c r="A402" s="31"/>
      <c r="B402" s="93"/>
      <c r="C402" s="802" t="s">
        <v>168</v>
      </c>
      <c r="D402" s="802"/>
      <c r="E402" s="802"/>
      <c r="F402" s="802"/>
      <c r="G402" s="802"/>
      <c r="H402" s="802"/>
      <c r="I402" s="802"/>
      <c r="J402" s="802"/>
      <c r="K402" s="802"/>
      <c r="L402" s="94"/>
      <c r="M402" s="94"/>
      <c r="N402" s="94"/>
      <c r="O402" s="94"/>
      <c r="P402" s="94" t="s">
        <v>167</v>
      </c>
      <c r="Q402" s="94"/>
      <c r="R402" s="82"/>
      <c r="S402" s="82"/>
      <c r="T402" s="33"/>
      <c r="U402" s="33"/>
      <c r="V402" s="33"/>
      <c r="W402" s="33"/>
    </row>
    <row r="404" ht="15">
      <c r="U404" s="64"/>
    </row>
    <row r="405" spans="2:8" ht="13.5">
      <c r="B405" s="34"/>
      <c r="C405" s="175"/>
      <c r="D405" s="32"/>
      <c r="E405" s="32"/>
      <c r="F405" s="32"/>
      <c r="G405" s="32"/>
      <c r="H405" s="32"/>
    </row>
    <row r="406" spans="2:8" ht="13.5">
      <c r="B406" s="32"/>
      <c r="C406" s="176"/>
      <c r="D406" s="32"/>
      <c r="E406" s="32"/>
      <c r="F406" s="32"/>
      <c r="G406" s="32"/>
      <c r="H406" s="32"/>
    </row>
    <row r="407" spans="2:8" ht="13.5">
      <c r="B407" s="32"/>
      <c r="C407" s="176"/>
      <c r="D407" s="32"/>
      <c r="E407" s="32"/>
      <c r="F407" s="32"/>
      <c r="G407" s="32"/>
      <c r="H407" s="32"/>
    </row>
    <row r="408" spans="2:8" ht="13.5">
      <c r="B408" s="32"/>
      <c r="C408" s="176"/>
      <c r="D408" s="32"/>
      <c r="E408" s="32"/>
      <c r="F408" s="32"/>
      <c r="G408" s="32"/>
      <c r="H408" s="32"/>
    </row>
    <row r="409" spans="2:8" ht="13.5">
      <c r="B409" s="817"/>
      <c r="C409" s="817"/>
      <c r="D409" s="817"/>
      <c r="E409" s="817"/>
      <c r="F409" s="32"/>
      <c r="G409" s="34"/>
      <c r="H409" s="34"/>
    </row>
    <row r="410" spans="2:8" ht="13.5">
      <c r="B410" s="810"/>
      <c r="C410" s="810"/>
      <c r="D410" s="810"/>
      <c r="E410" s="810"/>
      <c r="F410" s="32"/>
      <c r="G410" s="34"/>
      <c r="H410" s="34"/>
    </row>
    <row r="411" spans="2:8" ht="13.5">
      <c r="B411" s="817"/>
      <c r="C411" s="817"/>
      <c r="D411" s="817"/>
      <c r="E411" s="817"/>
      <c r="F411" s="32"/>
      <c r="G411" s="32"/>
      <c r="H411" s="32"/>
    </row>
    <row r="412" spans="2:8" ht="13.5">
      <c r="B412" s="810"/>
      <c r="C412" s="810"/>
      <c r="D412" s="810"/>
      <c r="E412" s="810"/>
      <c r="F412" s="32"/>
      <c r="G412" s="34"/>
      <c r="H412" s="32"/>
    </row>
    <row r="413" spans="2:8" ht="28.5" customHeight="1">
      <c r="B413" s="810"/>
      <c r="C413" s="810"/>
      <c r="D413" s="810"/>
      <c r="E413" s="810"/>
      <c r="F413" s="32"/>
      <c r="G413" s="34"/>
      <c r="H413" s="34"/>
    </row>
    <row r="414" spans="2:8" ht="13.5">
      <c r="B414" s="810"/>
      <c r="C414" s="810"/>
      <c r="D414" s="810"/>
      <c r="E414" s="810"/>
      <c r="F414" s="32"/>
      <c r="G414" s="32"/>
      <c r="H414" s="34"/>
    </row>
    <row r="415" spans="2:8" ht="15" customHeight="1">
      <c r="B415" s="809"/>
      <c r="C415" s="809"/>
      <c r="D415" s="809"/>
      <c r="E415" s="809"/>
      <c r="F415" s="32"/>
      <c r="G415" s="34"/>
      <c r="H415" s="34"/>
    </row>
    <row r="416" spans="2:8" ht="13.5">
      <c r="B416" s="810"/>
      <c r="C416" s="810"/>
      <c r="D416" s="810"/>
      <c r="E416" s="810"/>
      <c r="F416" s="32"/>
      <c r="G416" s="32"/>
      <c r="H416" s="32"/>
    </row>
    <row r="417" spans="2:8" ht="13.5">
      <c r="B417" s="810"/>
      <c r="C417" s="810"/>
      <c r="D417" s="810"/>
      <c r="E417" s="810"/>
      <c r="F417" s="32"/>
      <c r="G417" s="32"/>
      <c r="H417" s="34"/>
    </row>
    <row r="418" spans="2:8" ht="2.25" customHeight="1">
      <c r="B418" s="809"/>
      <c r="C418" s="809"/>
      <c r="D418" s="809"/>
      <c r="E418" s="809"/>
      <c r="F418" s="32"/>
      <c r="G418" s="32"/>
      <c r="H418" s="32"/>
    </row>
    <row r="419" spans="2:8" ht="13.5">
      <c r="B419" s="810"/>
      <c r="C419" s="810"/>
      <c r="D419" s="810"/>
      <c r="E419" s="810"/>
      <c r="F419" s="32"/>
      <c r="G419" s="32"/>
      <c r="H419" s="32"/>
    </row>
    <row r="420" spans="2:8" ht="13.5">
      <c r="B420" s="809"/>
      <c r="C420" s="809"/>
      <c r="D420" s="809"/>
      <c r="E420" s="809"/>
      <c r="F420" s="32"/>
      <c r="G420" s="32"/>
      <c r="H420" s="32"/>
    </row>
    <row r="421" spans="2:8" ht="13.5">
      <c r="B421" s="809"/>
      <c r="C421" s="809"/>
      <c r="D421" s="809"/>
      <c r="E421" s="809"/>
      <c r="F421" s="32"/>
      <c r="G421" s="32"/>
      <c r="H421" s="32"/>
    </row>
    <row r="422" spans="2:8" ht="13.5">
      <c r="B422" s="809"/>
      <c r="C422" s="809"/>
      <c r="D422" s="809"/>
      <c r="E422" s="809"/>
      <c r="F422" s="32"/>
      <c r="G422" s="32"/>
      <c r="H422" s="32"/>
    </row>
    <row r="423" spans="2:8" ht="13.5">
      <c r="B423" s="809"/>
      <c r="C423" s="809"/>
      <c r="D423" s="809"/>
      <c r="E423" s="809"/>
      <c r="F423" s="32"/>
      <c r="G423" s="32"/>
      <c r="H423" s="32"/>
    </row>
    <row r="431" spans="2:3" ht="13.5">
      <c r="B431" s="28"/>
      <c r="C431" s="177"/>
    </row>
  </sheetData>
  <sheetProtection/>
  <mergeCells count="253">
    <mergeCell ref="C402:K402"/>
    <mergeCell ref="C54:K54"/>
    <mergeCell ref="C183:K183"/>
    <mergeCell ref="C231:K231"/>
    <mergeCell ref="C291:K291"/>
    <mergeCell ref="C345:K345"/>
    <mergeCell ref="C401:K401"/>
    <mergeCell ref="J131:J134"/>
    <mergeCell ref="B356:M356"/>
    <mergeCell ref="B357:M357"/>
    <mergeCell ref="Q295:S295"/>
    <mergeCell ref="Q296:V296"/>
    <mergeCell ref="U363:U367"/>
    <mergeCell ref="B360:D360"/>
    <mergeCell ref="B362:D362"/>
    <mergeCell ref="B355:N355"/>
    <mergeCell ref="Q350:V350"/>
    <mergeCell ref="R364:R367"/>
    <mergeCell ref="T363:T367"/>
    <mergeCell ref="S364:S367"/>
    <mergeCell ref="Q4:V4"/>
    <mergeCell ref="C195:C199"/>
    <mergeCell ref="C245:C249"/>
    <mergeCell ref="C310:C314"/>
    <mergeCell ref="B297:D297"/>
    <mergeCell ref="M130:M134"/>
    <mergeCell ref="N130:P130"/>
    <mergeCell ref="O246:O249"/>
    <mergeCell ref="B146:B148"/>
    <mergeCell ref="Q236:V236"/>
    <mergeCell ref="A370:A371"/>
    <mergeCell ref="B370:B371"/>
    <mergeCell ref="V363:V367"/>
    <mergeCell ref="I364:I367"/>
    <mergeCell ref="J364:J367"/>
    <mergeCell ref="T246:T249"/>
    <mergeCell ref="Q352:V352"/>
    <mergeCell ref="Q363:S363"/>
    <mergeCell ref="M364:M367"/>
    <mergeCell ref="C370:C371"/>
    <mergeCell ref="P364:P367"/>
    <mergeCell ref="O364:O367"/>
    <mergeCell ref="X369:AD369"/>
    <mergeCell ref="Q364:Q367"/>
    <mergeCell ref="H363:H367"/>
    <mergeCell ref="I363:L363"/>
    <mergeCell ref="M363:P363"/>
    <mergeCell ref="A363:A365"/>
    <mergeCell ref="E363:E367"/>
    <mergeCell ref="F363:F367"/>
    <mergeCell ref="G363:G367"/>
    <mergeCell ref="N364:N367"/>
    <mergeCell ref="C363:C367"/>
    <mergeCell ref="K364:K367"/>
    <mergeCell ref="L364:L367"/>
    <mergeCell ref="Q246:Q249"/>
    <mergeCell ref="K131:K134"/>
    <mergeCell ref="N131:N134"/>
    <mergeCell ref="O131:O134"/>
    <mergeCell ref="M196:M199"/>
    <mergeCell ref="B192:M192"/>
    <mergeCell ref="B142:B145"/>
    <mergeCell ref="C142:C145"/>
    <mergeCell ref="K196:K199"/>
    <mergeCell ref="N196:N199"/>
    <mergeCell ref="A16:A18"/>
    <mergeCell ref="K17:K20"/>
    <mergeCell ref="Q16:S16"/>
    <mergeCell ref="G16:G20"/>
    <mergeCell ref="I16:L16"/>
    <mergeCell ref="A73:A75"/>
    <mergeCell ref="B66:K66"/>
    <mergeCell ref="G73:G77"/>
    <mergeCell ref="C73:C77"/>
    <mergeCell ref="H73:H77"/>
    <mergeCell ref="B122:K122"/>
    <mergeCell ref="R17:R20"/>
    <mergeCell ref="T16:T20"/>
    <mergeCell ref="M16:P16"/>
    <mergeCell ref="B13:D13"/>
    <mergeCell ref="C16:C20"/>
    <mergeCell ref="B23:B24"/>
    <mergeCell ref="P17:P20"/>
    <mergeCell ref="B64:N64"/>
    <mergeCell ref="B72:D72"/>
    <mergeCell ref="X22:AD22"/>
    <mergeCell ref="M17:M20"/>
    <mergeCell ref="E16:E20"/>
    <mergeCell ref="J17:J20"/>
    <mergeCell ref="Q17:Q20"/>
    <mergeCell ref="S17:S20"/>
    <mergeCell ref="H16:H20"/>
    <mergeCell ref="I17:I20"/>
    <mergeCell ref="F16:F20"/>
    <mergeCell ref="N17:N20"/>
    <mergeCell ref="S2:W2"/>
    <mergeCell ref="B9:M9"/>
    <mergeCell ref="A23:A24"/>
    <mergeCell ref="O17:O20"/>
    <mergeCell ref="L17:L20"/>
    <mergeCell ref="B8:N8"/>
    <mergeCell ref="B10:M10"/>
    <mergeCell ref="B15:D15"/>
    <mergeCell ref="V16:V20"/>
    <mergeCell ref="U16:U20"/>
    <mergeCell ref="B123:M123"/>
    <mergeCell ref="S73:S77"/>
    <mergeCell ref="K74:K77"/>
    <mergeCell ref="L130:L134"/>
    <mergeCell ref="S130:S134"/>
    <mergeCell ref="B129:D129"/>
    <mergeCell ref="O120:S120"/>
    <mergeCell ref="F73:F77"/>
    <mergeCell ref="I131:I134"/>
    <mergeCell ref="E73:E77"/>
    <mergeCell ref="R130:R134"/>
    <mergeCell ref="P131:P134"/>
    <mergeCell ref="Q131:Q134"/>
    <mergeCell ref="I130:K130"/>
    <mergeCell ref="H130:H134"/>
    <mergeCell ref="C130:C134"/>
    <mergeCell ref="I195:L195"/>
    <mergeCell ref="M195:N195"/>
    <mergeCell ref="A130:A132"/>
    <mergeCell ref="E130:E134"/>
    <mergeCell ref="F130:F134"/>
    <mergeCell ref="G130:G134"/>
    <mergeCell ref="B190:N190"/>
    <mergeCell ref="I196:I199"/>
    <mergeCell ref="E195:E199"/>
    <mergeCell ref="O195:T195"/>
    <mergeCell ref="O196:O199"/>
    <mergeCell ref="S196:S199"/>
    <mergeCell ref="F195:F199"/>
    <mergeCell ref="G195:G199"/>
    <mergeCell ref="H195:H199"/>
    <mergeCell ref="B191:M191"/>
    <mergeCell ref="B238:N238"/>
    <mergeCell ref="C202:C203"/>
    <mergeCell ref="L196:L199"/>
    <mergeCell ref="J196:J199"/>
    <mergeCell ref="P196:P199"/>
    <mergeCell ref="T196:T199"/>
    <mergeCell ref="A245:A247"/>
    <mergeCell ref="E245:E249"/>
    <mergeCell ref="F245:F249"/>
    <mergeCell ref="G245:G249"/>
    <mergeCell ref="H245:H249"/>
    <mergeCell ref="AD199:AD206"/>
    <mergeCell ref="W195:W199"/>
    <mergeCell ref="U195:U199"/>
    <mergeCell ref="V195:V199"/>
    <mergeCell ref="A195:A197"/>
    <mergeCell ref="A202:A203"/>
    <mergeCell ref="B202:B203"/>
    <mergeCell ref="J246:J249"/>
    <mergeCell ref="K246:K249"/>
    <mergeCell ref="W245:W249"/>
    <mergeCell ref="M246:M249"/>
    <mergeCell ref="N246:N249"/>
    <mergeCell ref="I245:L245"/>
    <mergeCell ref="M245:N245"/>
    <mergeCell ref="O245:T245"/>
    <mergeCell ref="S246:S249"/>
    <mergeCell ref="A310:A312"/>
    <mergeCell ref="W310:W314"/>
    <mergeCell ref="I311:I314"/>
    <mergeCell ref="J311:J314"/>
    <mergeCell ref="K311:K314"/>
    <mergeCell ref="L311:L314"/>
    <mergeCell ref="H310:H314"/>
    <mergeCell ref="N311:N314"/>
    <mergeCell ref="P311:P314"/>
    <mergeCell ref="Q351:S351"/>
    <mergeCell ref="V310:V314"/>
    <mergeCell ref="V245:V249"/>
    <mergeCell ref="L246:L249"/>
    <mergeCell ref="P246:P249"/>
    <mergeCell ref="U245:U249"/>
    <mergeCell ref="R246:R249"/>
    <mergeCell ref="U310:U314"/>
    <mergeCell ref="Q311:Q314"/>
    <mergeCell ref="M310:O310"/>
    <mergeCell ref="T310:T314"/>
    <mergeCell ref="R311:R314"/>
    <mergeCell ref="S311:S314"/>
    <mergeCell ref="O311:O314"/>
    <mergeCell ref="B239:M239"/>
    <mergeCell ref="B240:N240"/>
    <mergeCell ref="B303:M303"/>
    <mergeCell ref="G310:G314"/>
    <mergeCell ref="E310:E314"/>
    <mergeCell ref="F310:F314"/>
    <mergeCell ref="U73:U77"/>
    <mergeCell ref="I74:I77"/>
    <mergeCell ref="J74:J77"/>
    <mergeCell ref="L74:L77"/>
    <mergeCell ref="N74:N77"/>
    <mergeCell ref="M74:M77"/>
    <mergeCell ref="Q74:Q77"/>
    <mergeCell ref="R74:R77"/>
    <mergeCell ref="P74:P77"/>
    <mergeCell ref="T73:T77"/>
    <mergeCell ref="B413:E413"/>
    <mergeCell ref="B414:E414"/>
    <mergeCell ref="B412:E412"/>
    <mergeCell ref="A306:G306"/>
    <mergeCell ref="C147:C148"/>
    <mergeCell ref="T130:T134"/>
    <mergeCell ref="B309:D309"/>
    <mergeCell ref="M311:M314"/>
    <mergeCell ref="I246:I249"/>
    <mergeCell ref="B241:M241"/>
    <mergeCell ref="O74:O77"/>
    <mergeCell ref="O73:R73"/>
    <mergeCell ref="B409:E409"/>
    <mergeCell ref="B410:E410"/>
    <mergeCell ref="B411:E411"/>
    <mergeCell ref="Q186:S186"/>
    <mergeCell ref="R196:R199"/>
    <mergeCell ref="Q235:S235"/>
    <mergeCell ref="Q196:Q199"/>
    <mergeCell ref="O301:V301"/>
    <mergeCell ref="Q187:V187"/>
    <mergeCell ref="B423:E423"/>
    <mergeCell ref="B415:E415"/>
    <mergeCell ref="B416:E416"/>
    <mergeCell ref="B417:E417"/>
    <mergeCell ref="B418:E418"/>
    <mergeCell ref="B419:E419"/>
    <mergeCell ref="B420:E420"/>
    <mergeCell ref="B421:E421"/>
    <mergeCell ref="B422:E422"/>
    <mergeCell ref="Q59:V59"/>
    <mergeCell ref="Q185:V185"/>
    <mergeCell ref="Q117:V117"/>
    <mergeCell ref="Q294:W294"/>
    <mergeCell ref="Q5:S5"/>
    <mergeCell ref="Q6:V6"/>
    <mergeCell ref="Q60:S60"/>
    <mergeCell ref="Q61:V61"/>
    <mergeCell ref="Q118:S118"/>
    <mergeCell ref="Q119:V119"/>
    <mergeCell ref="C346:K346"/>
    <mergeCell ref="C292:K292"/>
    <mergeCell ref="C230:K230"/>
    <mergeCell ref="C182:K182"/>
    <mergeCell ref="C112:K112"/>
    <mergeCell ref="C53:K53"/>
    <mergeCell ref="B65:M65"/>
    <mergeCell ref="B298:E298"/>
    <mergeCell ref="B302:T302"/>
    <mergeCell ref="B300:N300"/>
  </mergeCells>
  <printOptions horizontalCentered="1"/>
  <pageMargins left="0" right="0" top="0.2362204724409449" bottom="0.2362204724409449" header="0.5118110236220472" footer="0"/>
  <pageSetup horizontalDpi="600" verticalDpi="600" orientation="landscape" scale="53" r:id="rId1"/>
  <rowBreaks count="5" manualBreakCount="5">
    <brk id="54" max="23" man="1"/>
    <brk id="115" max="23" man="1"/>
    <brk id="232" max="23" man="1"/>
    <brk id="292" max="23" man="1"/>
    <brk id="346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Y642"/>
  <sheetViews>
    <sheetView tabSelected="1" view="pageBreakPreview" zoomScale="60" zoomScaleNormal="60" workbookViewId="0" topLeftCell="A608">
      <selection activeCell="E654" sqref="E654"/>
    </sheetView>
  </sheetViews>
  <sheetFormatPr defaultColWidth="9.125" defaultRowHeight="12.75"/>
  <cols>
    <col min="1" max="1" width="3.875" style="455" customWidth="1"/>
    <col min="2" max="2" width="37.625" style="203" customWidth="1"/>
    <col min="3" max="3" width="9.625" style="406" customWidth="1"/>
    <col min="4" max="4" width="11.875" style="203" hidden="1" customWidth="1"/>
    <col min="5" max="5" width="8.375" style="203" customWidth="1"/>
    <col min="6" max="6" width="11.00390625" style="203" customWidth="1"/>
    <col min="7" max="7" width="7.625" style="456" customWidth="1"/>
    <col min="8" max="8" width="15.00390625" style="456" customWidth="1"/>
    <col min="9" max="9" width="13.125" style="456" customWidth="1"/>
    <col min="10" max="10" width="14.125" style="203" customWidth="1"/>
    <col min="11" max="11" width="13.125" style="203" customWidth="1"/>
    <col min="12" max="12" width="12.125" style="203" customWidth="1"/>
    <col min="13" max="13" width="12.375" style="203" customWidth="1"/>
    <col min="14" max="14" width="8.125" style="203" customWidth="1"/>
    <col min="15" max="15" width="12.50390625" style="203" customWidth="1"/>
    <col min="16" max="16" width="13.125" style="203" customWidth="1"/>
    <col min="17" max="17" width="10.625" style="203" customWidth="1"/>
    <col min="18" max="18" width="10.50390625" style="203" customWidth="1"/>
    <col min="19" max="19" width="13.375" style="203" customWidth="1"/>
    <col min="20" max="21" width="12.625" style="203" customWidth="1"/>
    <col min="22" max="22" width="11.375" style="203" customWidth="1"/>
    <col min="23" max="23" width="14.625" style="203" customWidth="1"/>
    <col min="24" max="16384" width="9.125" style="203" customWidth="1"/>
  </cols>
  <sheetData>
    <row r="1" spans="1:23" ht="20.25">
      <c r="A1" s="197"/>
      <c r="B1" s="198"/>
      <c r="C1" s="199"/>
      <c r="D1" s="198"/>
      <c r="E1" s="198"/>
      <c r="F1" s="198"/>
      <c r="G1" s="200"/>
      <c r="H1" s="200"/>
      <c r="I1" s="200"/>
      <c r="J1" s="198"/>
      <c r="K1" s="201"/>
      <c r="L1" s="198"/>
      <c r="M1" s="198"/>
      <c r="N1" s="198"/>
      <c r="O1" s="198"/>
      <c r="P1" s="198"/>
      <c r="Q1" s="198"/>
      <c r="R1" s="202" t="s">
        <v>171</v>
      </c>
      <c r="T1" s="204"/>
      <c r="U1" s="204"/>
      <c r="V1" s="198"/>
      <c r="W1" s="198"/>
    </row>
    <row r="2" spans="1:23" ht="20.25" hidden="1">
      <c r="A2" s="197"/>
      <c r="B2" s="198"/>
      <c r="C2" s="199"/>
      <c r="D2" s="198"/>
      <c r="E2" s="198"/>
      <c r="F2" s="198"/>
      <c r="G2" s="200"/>
      <c r="H2" s="200"/>
      <c r="I2" s="200"/>
      <c r="J2" s="198"/>
      <c r="K2" s="201"/>
      <c r="L2" s="198"/>
      <c r="M2" s="198"/>
      <c r="N2" s="198"/>
      <c r="O2" s="198"/>
      <c r="P2" s="198"/>
      <c r="Q2" s="198"/>
      <c r="R2" s="928"/>
      <c r="S2" s="928"/>
      <c r="T2" s="928"/>
      <c r="U2" s="205"/>
      <c r="V2" s="205"/>
      <c r="W2" s="205"/>
    </row>
    <row r="3" spans="1:23" ht="20.25" customHeight="1">
      <c r="A3" s="197"/>
      <c r="B3" s="198"/>
      <c r="C3" s="199"/>
      <c r="D3" s="198"/>
      <c r="E3" s="198"/>
      <c r="F3" s="198"/>
      <c r="G3" s="200"/>
      <c r="H3" s="200"/>
      <c r="I3" s="200"/>
      <c r="J3" s="198"/>
      <c r="K3" s="201"/>
      <c r="L3" s="198"/>
      <c r="M3" s="198"/>
      <c r="N3" s="198"/>
      <c r="O3" s="198"/>
      <c r="P3" s="198"/>
      <c r="Q3" s="198"/>
      <c r="R3" s="929" t="s">
        <v>172</v>
      </c>
      <c r="S3" s="929"/>
      <c r="T3" s="929"/>
      <c r="U3" s="929"/>
      <c r="V3" s="929"/>
      <c r="W3" s="207"/>
    </row>
    <row r="4" spans="1:23" ht="39.75" customHeight="1">
      <c r="A4" s="197"/>
      <c r="B4" s="198"/>
      <c r="C4" s="199"/>
      <c r="D4" s="198"/>
      <c r="E4" s="198"/>
      <c r="F4" s="198"/>
      <c r="G4" s="200"/>
      <c r="H4" s="200"/>
      <c r="I4" s="200"/>
      <c r="J4" s="198"/>
      <c r="K4" s="201"/>
      <c r="L4" s="198"/>
      <c r="M4" s="198"/>
      <c r="N4" s="198"/>
      <c r="O4" s="198"/>
      <c r="P4" s="198"/>
      <c r="Q4" s="198"/>
      <c r="R4" s="930" t="s">
        <v>173</v>
      </c>
      <c r="S4" s="930"/>
      <c r="T4" s="930"/>
      <c r="U4" s="930"/>
      <c r="V4" s="930"/>
      <c r="W4" s="208"/>
    </row>
    <row r="5" spans="1:23" ht="26.25" customHeight="1">
      <c r="A5" s="197"/>
      <c r="B5" s="198"/>
      <c r="C5" s="199"/>
      <c r="D5" s="198"/>
      <c r="E5" s="198"/>
      <c r="F5" s="198"/>
      <c r="G5" s="200"/>
      <c r="H5" s="200"/>
      <c r="I5" s="200"/>
      <c r="J5" s="198"/>
      <c r="K5" s="198"/>
      <c r="L5" s="198"/>
      <c r="M5" s="204"/>
      <c r="N5" s="204"/>
      <c r="O5" s="204"/>
      <c r="P5" s="204"/>
      <c r="Q5" s="204"/>
      <c r="R5" s="931" t="s">
        <v>174</v>
      </c>
      <c r="S5" s="931"/>
      <c r="T5" s="931"/>
      <c r="U5" s="931"/>
      <c r="V5" s="931"/>
      <c r="W5" s="210"/>
    </row>
    <row r="6" spans="1:23" ht="36" customHeight="1">
      <c r="A6" s="197"/>
      <c r="B6" s="198"/>
      <c r="C6" s="199"/>
      <c r="D6" s="198"/>
      <c r="E6" s="198"/>
      <c r="F6" s="198"/>
      <c r="G6" s="200"/>
      <c r="H6" s="200"/>
      <c r="I6" s="200"/>
      <c r="J6" s="198"/>
      <c r="K6" s="198"/>
      <c r="L6" s="198"/>
      <c r="M6" s="198"/>
      <c r="N6" s="198"/>
      <c r="O6" s="198"/>
      <c r="P6" s="198"/>
      <c r="Q6" s="198"/>
      <c r="R6" s="929" t="s">
        <v>175</v>
      </c>
      <c r="S6" s="929"/>
      <c r="T6" s="929"/>
      <c r="U6" s="929"/>
      <c r="V6" s="929"/>
      <c r="W6" s="929"/>
    </row>
    <row r="7" spans="1:23" ht="49.5" customHeight="1">
      <c r="A7" s="197"/>
      <c r="B7" s="932" t="s">
        <v>176</v>
      </c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198"/>
      <c r="O7" s="198"/>
      <c r="P7" s="198"/>
      <c r="Q7" s="198"/>
      <c r="R7" s="211"/>
      <c r="S7" s="211"/>
      <c r="T7" s="211"/>
      <c r="U7" s="211"/>
      <c r="V7" s="212"/>
      <c r="W7" s="211"/>
    </row>
    <row r="8" spans="1:23" ht="41.25" customHeight="1">
      <c r="A8" s="197"/>
      <c r="B8" s="933" t="s">
        <v>177</v>
      </c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198"/>
      <c r="O8" s="198"/>
      <c r="P8" s="198"/>
      <c r="Q8" s="198"/>
      <c r="R8" s="198"/>
      <c r="S8" s="198"/>
      <c r="T8" s="198"/>
      <c r="U8" s="198"/>
      <c r="V8" s="198"/>
      <c r="W8" s="198"/>
    </row>
    <row r="9" spans="1:23" ht="15">
      <c r="A9" s="197"/>
      <c r="B9" s="934" t="s">
        <v>7</v>
      </c>
      <c r="C9" s="934"/>
      <c r="D9" s="934"/>
      <c r="E9" s="934"/>
      <c r="F9" s="934"/>
      <c r="G9" s="934"/>
      <c r="H9" s="934"/>
      <c r="I9" s="934"/>
      <c r="J9" s="934"/>
      <c r="K9" s="202"/>
      <c r="L9" s="215"/>
      <c r="M9" s="215"/>
      <c r="N9" s="215"/>
      <c r="O9" s="215"/>
      <c r="P9" s="215"/>
      <c r="Q9" s="215"/>
      <c r="R9" s="215"/>
      <c r="S9" s="198"/>
      <c r="T9" s="198"/>
      <c r="U9" s="198"/>
      <c r="V9" s="198"/>
      <c r="W9" s="198"/>
    </row>
    <row r="10" spans="1:23" ht="15">
      <c r="A10" s="197"/>
      <c r="B10" s="215" t="s">
        <v>178</v>
      </c>
      <c r="C10" s="214"/>
      <c r="D10" s="215"/>
      <c r="E10" s="198"/>
      <c r="F10" s="215" t="s">
        <v>179</v>
      </c>
      <c r="G10" s="216"/>
      <c r="H10" s="216"/>
      <c r="I10" s="215" t="s">
        <v>180</v>
      </c>
      <c r="J10" s="215"/>
      <c r="K10" s="215" t="s">
        <v>181</v>
      </c>
      <c r="L10" s="215"/>
      <c r="M10" s="215"/>
      <c r="N10" s="215"/>
      <c r="O10" s="215"/>
      <c r="P10" s="215"/>
      <c r="Q10" s="215"/>
      <c r="R10" s="215"/>
      <c r="S10" s="198"/>
      <c r="T10" s="198"/>
      <c r="U10" s="198"/>
      <c r="V10" s="198"/>
      <c r="W10" s="198"/>
    </row>
    <row r="11" spans="1:23" ht="15">
      <c r="A11" s="197"/>
      <c r="B11" s="198"/>
      <c r="C11" s="199"/>
      <c r="D11" s="198"/>
      <c r="E11" s="198"/>
      <c r="F11" s="198"/>
      <c r="G11" s="200"/>
      <c r="H11" s="200"/>
      <c r="I11" s="200"/>
      <c r="J11" s="215" t="s">
        <v>182</v>
      </c>
      <c r="K11" s="215" t="s">
        <v>183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6" customHeight="1">
      <c r="A12" s="197"/>
      <c r="B12" s="204"/>
      <c r="C12" s="217"/>
      <c r="D12" s="204"/>
      <c r="E12" s="204"/>
      <c r="F12" s="204"/>
      <c r="G12" s="218"/>
      <c r="H12" s="218"/>
      <c r="I12" s="218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23" ht="12.75" customHeight="1">
      <c r="A13" s="935" t="s">
        <v>0</v>
      </c>
      <c r="B13" s="219" t="s">
        <v>1</v>
      </c>
      <c r="C13" s="937" t="s">
        <v>117</v>
      </c>
      <c r="D13" s="937" t="s">
        <v>184</v>
      </c>
      <c r="E13" s="220" t="s">
        <v>2</v>
      </c>
      <c r="F13" s="940" t="s">
        <v>34</v>
      </c>
      <c r="G13" s="941" t="s">
        <v>35</v>
      </c>
      <c r="H13" s="941" t="s">
        <v>58</v>
      </c>
      <c r="I13" s="944" t="s">
        <v>39</v>
      </c>
      <c r="J13" s="945" t="s">
        <v>33</v>
      </c>
      <c r="K13" s="946"/>
      <c r="L13" s="946"/>
      <c r="M13" s="946"/>
      <c r="N13" s="946"/>
      <c r="O13" s="947" t="s">
        <v>5</v>
      </c>
      <c r="P13" s="947"/>
      <c r="Q13" s="947"/>
      <c r="R13" s="947"/>
      <c r="S13" s="947"/>
      <c r="T13" s="947"/>
      <c r="U13" s="220"/>
      <c r="V13" s="948" t="s">
        <v>100</v>
      </c>
      <c r="W13" s="951" t="s">
        <v>185</v>
      </c>
    </row>
    <row r="14" spans="1:23" ht="12.75" customHeight="1">
      <c r="A14" s="936"/>
      <c r="B14" s="223" t="s">
        <v>186</v>
      </c>
      <c r="C14" s="938"/>
      <c r="D14" s="938"/>
      <c r="E14" s="223" t="s">
        <v>3</v>
      </c>
      <c r="F14" s="940"/>
      <c r="G14" s="942"/>
      <c r="H14" s="942"/>
      <c r="I14" s="944"/>
      <c r="J14" s="954" t="s">
        <v>187</v>
      </c>
      <c r="K14" s="956" t="s">
        <v>188</v>
      </c>
      <c r="L14" s="959" t="s">
        <v>189</v>
      </c>
      <c r="M14" s="961" t="s">
        <v>190</v>
      </c>
      <c r="N14" s="937" t="s">
        <v>191</v>
      </c>
      <c r="O14" s="962" t="s">
        <v>192</v>
      </c>
      <c r="P14" s="962" t="s">
        <v>193</v>
      </c>
      <c r="Q14" s="963" t="s">
        <v>194</v>
      </c>
      <c r="R14" s="966" t="s">
        <v>195</v>
      </c>
      <c r="S14" s="957" t="s">
        <v>20</v>
      </c>
      <c r="T14" s="968" t="s">
        <v>21</v>
      </c>
      <c r="U14" s="961" t="s">
        <v>196</v>
      </c>
      <c r="V14" s="949"/>
      <c r="W14" s="952"/>
    </row>
    <row r="15" spans="1:23" ht="15">
      <c r="A15" s="936"/>
      <c r="B15" s="223"/>
      <c r="C15" s="938"/>
      <c r="D15" s="938"/>
      <c r="E15" s="223" t="s">
        <v>4</v>
      </c>
      <c r="F15" s="940"/>
      <c r="G15" s="942"/>
      <c r="H15" s="942"/>
      <c r="I15" s="944"/>
      <c r="J15" s="954"/>
      <c r="K15" s="957"/>
      <c r="L15" s="959"/>
      <c r="M15" s="957"/>
      <c r="N15" s="938"/>
      <c r="O15" s="962"/>
      <c r="P15" s="962"/>
      <c r="Q15" s="964"/>
      <c r="R15" s="966"/>
      <c r="S15" s="957"/>
      <c r="T15" s="968"/>
      <c r="U15" s="957"/>
      <c r="V15" s="949"/>
      <c r="W15" s="952"/>
    </row>
    <row r="16" spans="1:23" ht="15">
      <c r="A16" s="224"/>
      <c r="B16" s="223"/>
      <c r="C16" s="938"/>
      <c r="D16" s="938"/>
      <c r="E16" s="223"/>
      <c r="F16" s="940"/>
      <c r="G16" s="942"/>
      <c r="H16" s="942"/>
      <c r="I16" s="944"/>
      <c r="J16" s="954"/>
      <c r="K16" s="957"/>
      <c r="L16" s="959"/>
      <c r="M16" s="957"/>
      <c r="N16" s="938"/>
      <c r="O16" s="962"/>
      <c r="P16" s="962"/>
      <c r="Q16" s="964"/>
      <c r="R16" s="966"/>
      <c r="S16" s="957"/>
      <c r="T16" s="968"/>
      <c r="U16" s="957"/>
      <c r="V16" s="949"/>
      <c r="W16" s="952"/>
    </row>
    <row r="17" spans="1:23" ht="124.5" customHeight="1">
      <c r="A17" s="225"/>
      <c r="B17" s="226"/>
      <c r="C17" s="939"/>
      <c r="D17" s="939"/>
      <c r="E17" s="227"/>
      <c r="F17" s="940"/>
      <c r="G17" s="943"/>
      <c r="H17" s="943"/>
      <c r="I17" s="944"/>
      <c r="J17" s="955"/>
      <c r="K17" s="958"/>
      <c r="L17" s="960"/>
      <c r="M17" s="958"/>
      <c r="N17" s="939"/>
      <c r="O17" s="962"/>
      <c r="P17" s="962"/>
      <c r="Q17" s="965"/>
      <c r="R17" s="967"/>
      <c r="S17" s="958"/>
      <c r="T17" s="969"/>
      <c r="U17" s="958"/>
      <c r="V17" s="950"/>
      <c r="W17" s="953"/>
    </row>
    <row r="18" spans="1:23" ht="22.5" customHeight="1">
      <c r="A18" s="228">
        <v>1</v>
      </c>
      <c r="B18" s="229" t="s">
        <v>197</v>
      </c>
      <c r="C18" s="230" t="s">
        <v>118</v>
      </c>
      <c r="D18" s="229"/>
      <c r="E18" s="231">
        <v>1</v>
      </c>
      <c r="F18" s="232">
        <v>8679</v>
      </c>
      <c r="G18" s="233">
        <v>17</v>
      </c>
      <c r="H18" s="234">
        <f>F18</f>
        <v>8679</v>
      </c>
      <c r="I18" s="234">
        <f>H18*10%</f>
        <v>867.9000000000001</v>
      </c>
      <c r="J18" s="235">
        <f>(H18+I18+L18+M18+N18)*30%</f>
        <v>3384.81</v>
      </c>
      <c r="K18" s="235">
        <f>(H18+I18+L18+M18+N18)*20%</f>
        <v>2256.5400000000004</v>
      </c>
      <c r="L18" s="235"/>
      <c r="M18" s="235">
        <f>H18*20%</f>
        <v>1735.8000000000002</v>
      </c>
      <c r="N18" s="236"/>
      <c r="O18" s="237"/>
      <c r="P18" s="237"/>
      <c r="Q18" s="237"/>
      <c r="R18" s="238"/>
      <c r="S18" s="238"/>
      <c r="T18" s="238"/>
      <c r="U18" s="238"/>
      <c r="V18" s="239"/>
      <c r="W18" s="238">
        <f>H18+I18+J18+K18+L18+M18+N18+O18+P18+Q18+R18+S18+T18+U18+V18+0.01</f>
        <v>16924.059999999998</v>
      </c>
    </row>
    <row r="19" spans="1:23" ht="42.75" customHeight="1">
      <c r="A19" s="240">
        <v>2</v>
      </c>
      <c r="B19" s="241" t="s">
        <v>198</v>
      </c>
      <c r="C19" s="242" t="s">
        <v>118</v>
      </c>
      <c r="D19" s="241"/>
      <c r="E19" s="243">
        <v>2</v>
      </c>
      <c r="F19" s="244">
        <f>F18*95%</f>
        <v>8245.05</v>
      </c>
      <c r="G19" s="245" t="s">
        <v>199</v>
      </c>
      <c r="H19" s="234">
        <f aca="true" t="shared" si="0" ref="H19:H31">F19*E19</f>
        <v>16490.1</v>
      </c>
      <c r="I19" s="234">
        <f>H19*10%</f>
        <v>1649.01</v>
      </c>
      <c r="J19" s="235">
        <f>1360.43+3215.57+1360.43</f>
        <v>5936.43</v>
      </c>
      <c r="K19" s="235">
        <v>3504.15</v>
      </c>
      <c r="L19" s="246"/>
      <c r="M19" s="246">
        <v>1649.01</v>
      </c>
      <c r="N19" s="247"/>
      <c r="O19" s="248"/>
      <c r="P19" s="248"/>
      <c r="Q19" s="248"/>
      <c r="R19" s="249"/>
      <c r="S19" s="249"/>
      <c r="T19" s="249"/>
      <c r="U19" s="238"/>
      <c r="V19" s="239"/>
      <c r="W19" s="238">
        <f>H19+I19+J19+K19+L19+M19+N19+O19+P19+Q19+R19+S19+T19+U19+V19</f>
        <v>29228.699999999997</v>
      </c>
    </row>
    <row r="20" spans="1:23" ht="30" customHeight="1">
      <c r="A20" s="240">
        <v>3</v>
      </c>
      <c r="B20" s="241" t="s">
        <v>200</v>
      </c>
      <c r="C20" s="242" t="s">
        <v>118</v>
      </c>
      <c r="D20" s="241"/>
      <c r="E20" s="243">
        <v>0.5</v>
      </c>
      <c r="F20" s="250">
        <f>F18*95%</f>
        <v>8245.05</v>
      </c>
      <c r="G20" s="251"/>
      <c r="H20" s="234">
        <f t="shared" si="0"/>
        <v>4122.525</v>
      </c>
      <c r="I20" s="234">
        <f aca="true" t="shared" si="1" ref="I20:I31">H20*10%</f>
        <v>412.2525</v>
      </c>
      <c r="J20" s="235">
        <f>(H20+I20+L20+M20+N20)*10%</f>
        <v>453.47774999999996</v>
      </c>
      <c r="K20" s="235">
        <f>(H20+I20+L20+M20+N20)*15%</f>
        <v>680.2166249999999</v>
      </c>
      <c r="L20" s="246"/>
      <c r="M20" s="246"/>
      <c r="N20" s="246"/>
      <c r="O20" s="249"/>
      <c r="P20" s="249"/>
      <c r="Q20" s="249"/>
      <c r="R20" s="249"/>
      <c r="S20" s="249"/>
      <c r="T20" s="249"/>
      <c r="U20" s="238"/>
      <c r="V20" s="239"/>
      <c r="W20" s="238">
        <f aca="true" t="shared" si="2" ref="W20:W96">H20+I20+J20+K20+L20+M20+N20+O20+P20+Q20+R20+S20+T20+U20+V20</f>
        <v>5668.471874999999</v>
      </c>
    </row>
    <row r="21" spans="1:23" ht="22.5" customHeight="1">
      <c r="A21" s="240">
        <v>4</v>
      </c>
      <c r="B21" s="241" t="s">
        <v>201</v>
      </c>
      <c r="C21" s="242" t="s">
        <v>121</v>
      </c>
      <c r="D21" s="241"/>
      <c r="E21" s="249">
        <v>0.75</v>
      </c>
      <c r="F21" s="232">
        <v>7001</v>
      </c>
      <c r="G21" s="233">
        <v>14</v>
      </c>
      <c r="H21" s="234">
        <f t="shared" si="0"/>
        <v>5250.75</v>
      </c>
      <c r="I21" s="234">
        <f t="shared" si="1"/>
        <v>525.075</v>
      </c>
      <c r="J21" s="235">
        <f>(H21+I21+L21+M21+N21)*30%</f>
        <v>1732.7475</v>
      </c>
      <c r="K21" s="235">
        <f>(H21+I21+L21+M21+N21)*15%</f>
        <v>866.37375</v>
      </c>
      <c r="L21" s="246"/>
      <c r="M21" s="246"/>
      <c r="N21" s="246"/>
      <c r="O21" s="249"/>
      <c r="P21" s="249"/>
      <c r="Q21" s="249"/>
      <c r="R21" s="249"/>
      <c r="S21" s="249"/>
      <c r="T21" s="249"/>
      <c r="U21" s="238"/>
      <c r="V21" s="239"/>
      <c r="W21" s="238">
        <f t="shared" si="2"/>
        <v>8374.94625</v>
      </c>
    </row>
    <row r="22" spans="1:23" ht="24" customHeight="1">
      <c r="A22" s="240">
        <v>5</v>
      </c>
      <c r="B22" s="241" t="s">
        <v>202</v>
      </c>
      <c r="C22" s="242">
        <v>2340</v>
      </c>
      <c r="D22" s="241"/>
      <c r="E22" s="249">
        <v>0.75</v>
      </c>
      <c r="F22" s="232">
        <v>5699</v>
      </c>
      <c r="G22" s="233">
        <v>11</v>
      </c>
      <c r="H22" s="234">
        <f t="shared" si="0"/>
        <v>4274.25</v>
      </c>
      <c r="I22" s="234">
        <f t="shared" si="1"/>
        <v>427.425</v>
      </c>
      <c r="J22" s="235">
        <f>(H22+I22+L22+M22+N22)*10%</f>
        <v>470.1675</v>
      </c>
      <c r="K22" s="235">
        <f>(H22+I22+L22+M22+N22)*15%</f>
        <v>705.25125</v>
      </c>
      <c r="L22" s="246"/>
      <c r="M22" s="246"/>
      <c r="N22" s="246"/>
      <c r="O22" s="249"/>
      <c r="P22" s="249"/>
      <c r="Q22" s="249"/>
      <c r="R22" s="249"/>
      <c r="S22" s="249"/>
      <c r="T22" s="249"/>
      <c r="U22" s="238"/>
      <c r="V22" s="239"/>
      <c r="W22" s="238">
        <f t="shared" si="2"/>
        <v>5877.093750000001</v>
      </c>
    </row>
    <row r="23" spans="1:23" ht="52.5" customHeight="1">
      <c r="A23" s="240">
        <v>6</v>
      </c>
      <c r="B23" s="252" t="s">
        <v>203</v>
      </c>
      <c r="C23" s="253">
        <v>3330</v>
      </c>
      <c r="D23" s="241"/>
      <c r="E23" s="249">
        <v>4</v>
      </c>
      <c r="F23" s="232">
        <v>5699</v>
      </c>
      <c r="G23" s="233">
        <v>11</v>
      </c>
      <c r="H23" s="234">
        <f>F23*E23</f>
        <v>22796</v>
      </c>
      <c r="I23" s="234">
        <f t="shared" si="1"/>
        <v>2279.6</v>
      </c>
      <c r="J23" s="235">
        <v>6667.83</v>
      </c>
      <c r="K23" s="235">
        <v>5186.1</v>
      </c>
      <c r="L23" s="246"/>
      <c r="M23" s="246">
        <f>H23*20%</f>
        <v>4559.2</v>
      </c>
      <c r="N23" s="246"/>
      <c r="O23" s="249"/>
      <c r="P23" s="249"/>
      <c r="Q23" s="249"/>
      <c r="R23" s="249"/>
      <c r="S23" s="249"/>
      <c r="T23" s="249"/>
      <c r="U23" s="238"/>
      <c r="V23" s="239"/>
      <c r="W23" s="238">
        <f t="shared" si="2"/>
        <v>41488.729999999996</v>
      </c>
    </row>
    <row r="24" spans="1:23" ht="53.25" customHeight="1">
      <c r="A24" s="254">
        <v>7</v>
      </c>
      <c r="B24" s="252" t="s">
        <v>203</v>
      </c>
      <c r="C24" s="253">
        <v>3330</v>
      </c>
      <c r="D24" s="255"/>
      <c r="E24" s="256">
        <v>7</v>
      </c>
      <c r="F24" s="233">
        <v>5265</v>
      </c>
      <c r="G24" s="233">
        <v>10</v>
      </c>
      <c r="H24" s="234">
        <f>F24*E24</f>
        <v>36855</v>
      </c>
      <c r="I24" s="234">
        <f>H24*10%</f>
        <v>3685.5</v>
      </c>
      <c r="J24" s="235">
        <v>3422.25</v>
      </c>
      <c r="K24" s="235">
        <v>8213.41</v>
      </c>
      <c r="L24" s="246"/>
      <c r="M24" s="246">
        <f>H24*20%</f>
        <v>7371</v>
      </c>
      <c r="N24" s="257"/>
      <c r="O24" s="258"/>
      <c r="P24" s="258"/>
      <c r="Q24" s="258"/>
      <c r="R24" s="258"/>
      <c r="S24" s="258"/>
      <c r="T24" s="258"/>
      <c r="U24" s="259"/>
      <c r="V24" s="260"/>
      <c r="W24" s="238">
        <f>H24+I24+J24+K24+L24+M24+N24+O24+P24+Q24+R24+S24+T24+U24+V24</f>
        <v>59547.16</v>
      </c>
    </row>
    <row r="25" spans="1:23" ht="24.75" customHeight="1">
      <c r="A25" s="240">
        <v>8</v>
      </c>
      <c r="B25" s="241" t="s">
        <v>123</v>
      </c>
      <c r="C25" s="242">
        <v>2340</v>
      </c>
      <c r="D25" s="241"/>
      <c r="E25" s="249">
        <v>0.75</v>
      </c>
      <c r="F25" s="232">
        <v>6567</v>
      </c>
      <c r="G25" s="233">
        <v>13</v>
      </c>
      <c r="H25" s="234">
        <f>F25*E25</f>
        <v>4925.25</v>
      </c>
      <c r="I25" s="234">
        <f>H25*10%</f>
        <v>492.52500000000003</v>
      </c>
      <c r="J25" s="235">
        <f>(H25+I25+L25+M25+N25)*30%</f>
        <v>1920.8474999999999</v>
      </c>
      <c r="K25" s="235">
        <f>(H25+I25+L25+M25+N25)*15%</f>
        <v>960.4237499999999</v>
      </c>
      <c r="L25" s="246"/>
      <c r="M25" s="246">
        <f>H25*20%</f>
        <v>985.0500000000001</v>
      </c>
      <c r="N25" s="246"/>
      <c r="O25" s="249"/>
      <c r="P25" s="249"/>
      <c r="Q25" s="249"/>
      <c r="R25" s="249"/>
      <c r="S25" s="249"/>
      <c r="T25" s="249"/>
      <c r="U25" s="238"/>
      <c r="V25" s="239"/>
      <c r="W25" s="238">
        <f t="shared" si="2"/>
        <v>9284.096249999999</v>
      </c>
    </row>
    <row r="26" spans="1:23" ht="22.5" customHeight="1">
      <c r="A26" s="240">
        <v>9</v>
      </c>
      <c r="B26" s="241" t="s">
        <v>123</v>
      </c>
      <c r="C26" s="242">
        <v>2340</v>
      </c>
      <c r="D26" s="241"/>
      <c r="E26" s="249">
        <v>0.25</v>
      </c>
      <c r="F26" s="232">
        <v>5699</v>
      </c>
      <c r="G26" s="233">
        <v>11</v>
      </c>
      <c r="H26" s="234">
        <f>F26*E26</f>
        <v>1424.75</v>
      </c>
      <c r="I26" s="234">
        <f>H26*10%</f>
        <v>142.475</v>
      </c>
      <c r="J26" s="235">
        <f>(H26+I26+L26+M26+N26)*10%</f>
        <v>185.2175</v>
      </c>
      <c r="K26" s="235">
        <f>(H26+I26+L26+M26+N26)*15%</f>
        <v>277.82624999999996</v>
      </c>
      <c r="L26" s="246"/>
      <c r="M26" s="246">
        <f>H26*20%</f>
        <v>284.95</v>
      </c>
      <c r="N26" s="246"/>
      <c r="O26" s="249"/>
      <c r="P26" s="249"/>
      <c r="Q26" s="249"/>
      <c r="R26" s="249"/>
      <c r="S26" s="249"/>
      <c r="T26" s="249"/>
      <c r="U26" s="238"/>
      <c r="V26" s="239"/>
      <c r="W26" s="238">
        <f t="shared" si="2"/>
        <v>2315.2187499999995</v>
      </c>
    </row>
    <row r="27" spans="1:23" ht="19.5" customHeight="1">
      <c r="A27" s="240">
        <v>10</v>
      </c>
      <c r="B27" s="241" t="s">
        <v>204</v>
      </c>
      <c r="C27" s="242" t="s">
        <v>205</v>
      </c>
      <c r="D27" s="241"/>
      <c r="E27" s="243">
        <v>1</v>
      </c>
      <c r="F27" s="232">
        <v>5699</v>
      </c>
      <c r="G27" s="233">
        <v>11</v>
      </c>
      <c r="H27" s="234">
        <f t="shared" si="0"/>
        <v>5699</v>
      </c>
      <c r="I27" s="234">
        <f t="shared" si="1"/>
        <v>569.9</v>
      </c>
      <c r="J27" s="235">
        <f>(H27+I27+L27+M27+N27)*10%</f>
        <v>626.89</v>
      </c>
      <c r="K27" s="235">
        <f>(H27+I27+L27+M27+N27)*15%</f>
        <v>940.3349999999999</v>
      </c>
      <c r="L27" s="246"/>
      <c r="M27" s="246"/>
      <c r="N27" s="246"/>
      <c r="O27" s="249"/>
      <c r="P27" s="249"/>
      <c r="Q27" s="249"/>
      <c r="R27" s="249"/>
      <c r="S27" s="249"/>
      <c r="T27" s="249"/>
      <c r="U27" s="238"/>
      <c r="V27" s="239"/>
      <c r="W27" s="238">
        <f t="shared" si="2"/>
        <v>7836.125</v>
      </c>
    </row>
    <row r="28" spans="1:23" ht="18.75" customHeight="1" hidden="1">
      <c r="A28" s="254"/>
      <c r="B28" s="261"/>
      <c r="C28" s="242"/>
      <c r="D28" s="261"/>
      <c r="E28" s="249"/>
      <c r="F28" s="262"/>
      <c r="G28" s="263"/>
      <c r="H28" s="264"/>
      <c r="I28" s="264"/>
      <c r="J28" s="265"/>
      <c r="K28" s="265"/>
      <c r="L28" s="257"/>
      <c r="M28" s="257"/>
      <c r="N28" s="257"/>
      <c r="O28" s="258"/>
      <c r="P28" s="258"/>
      <c r="Q28" s="258"/>
      <c r="R28" s="258"/>
      <c r="S28" s="258"/>
      <c r="T28" s="258"/>
      <c r="U28" s="259"/>
      <c r="V28" s="260"/>
      <c r="W28" s="259"/>
    </row>
    <row r="29" spans="1:23" ht="18.75" customHeight="1">
      <c r="A29" s="240">
        <v>11</v>
      </c>
      <c r="B29" s="241" t="s">
        <v>206</v>
      </c>
      <c r="C29" s="242">
        <v>3340</v>
      </c>
      <c r="D29" s="241"/>
      <c r="E29" s="249">
        <v>2</v>
      </c>
      <c r="F29" s="232">
        <v>5699</v>
      </c>
      <c r="G29" s="233">
        <v>11</v>
      </c>
      <c r="H29" s="234">
        <f t="shared" si="0"/>
        <v>11398</v>
      </c>
      <c r="I29" s="234">
        <f t="shared" si="1"/>
        <v>1139.8</v>
      </c>
      <c r="J29" s="235">
        <v>1253.78</v>
      </c>
      <c r="K29" s="235">
        <f>(H29+I29+L29+M29+N29)*15%</f>
        <v>1880.6699999999998</v>
      </c>
      <c r="L29" s="246"/>
      <c r="M29" s="246"/>
      <c r="N29" s="246"/>
      <c r="O29" s="249"/>
      <c r="P29" s="249"/>
      <c r="Q29" s="249"/>
      <c r="R29" s="249"/>
      <c r="S29" s="249"/>
      <c r="T29" s="249"/>
      <c r="U29" s="238"/>
      <c r="V29" s="239"/>
      <c r="W29" s="238">
        <f>H29+I29+J29+K29+L29+M29+N29+O29+P29+Q29+R29+S29+T29+U29+V29</f>
        <v>15672.25</v>
      </c>
    </row>
    <row r="30" spans="1:23" ht="35.25" customHeight="1" hidden="1">
      <c r="A30" s="254">
        <v>10</v>
      </c>
      <c r="B30" s="266"/>
      <c r="C30" s="221"/>
      <c r="D30" s="266"/>
      <c r="E30" s="243"/>
      <c r="F30" s="262"/>
      <c r="G30" s="263"/>
      <c r="H30" s="264"/>
      <c r="I30" s="264"/>
      <c r="J30" s="265"/>
      <c r="K30" s="265"/>
      <c r="L30" s="257"/>
      <c r="M30" s="257"/>
      <c r="N30" s="257"/>
      <c r="O30" s="258"/>
      <c r="P30" s="258"/>
      <c r="Q30" s="258"/>
      <c r="R30" s="258"/>
      <c r="S30" s="258"/>
      <c r="T30" s="258"/>
      <c r="U30" s="259"/>
      <c r="V30" s="260"/>
      <c r="W30" s="259">
        <f>H30+I30+J30+K30+L30+M30+N30+O30+P30+Q30+R30+S30+T30+U30+V30</f>
        <v>0</v>
      </c>
    </row>
    <row r="31" spans="1:23" ht="24" customHeight="1">
      <c r="A31" s="240">
        <v>12</v>
      </c>
      <c r="B31" s="267" t="s">
        <v>207</v>
      </c>
      <c r="C31" s="221">
        <v>3340</v>
      </c>
      <c r="D31" s="267"/>
      <c r="E31" s="243">
        <v>0.5</v>
      </c>
      <c r="F31" s="232">
        <v>5699</v>
      </c>
      <c r="G31" s="233">
        <v>11</v>
      </c>
      <c r="H31" s="234">
        <f t="shared" si="0"/>
        <v>2849.5</v>
      </c>
      <c r="I31" s="234">
        <f t="shared" si="1"/>
        <v>284.95</v>
      </c>
      <c r="J31" s="235">
        <v>313.45</v>
      </c>
      <c r="K31" s="235">
        <f>(H31+I31+L31+M31+N31)*15%</f>
        <v>470.16749999999996</v>
      </c>
      <c r="L31" s="246"/>
      <c r="M31" s="246"/>
      <c r="N31" s="246"/>
      <c r="O31" s="249"/>
      <c r="P31" s="249"/>
      <c r="Q31" s="249"/>
      <c r="R31" s="249"/>
      <c r="S31" s="249"/>
      <c r="T31" s="249"/>
      <c r="U31" s="238"/>
      <c r="V31" s="239"/>
      <c r="W31" s="238">
        <f>H31+I31+J31+K31+L31+M31+N31+O31+P31+Q31+R31+S31+T31+U31+V31</f>
        <v>3918.0674999999997</v>
      </c>
    </row>
    <row r="32" spans="1:23" ht="18.75" customHeight="1" thickBot="1">
      <c r="A32" s="268">
        <v>13</v>
      </c>
      <c r="B32" s="269" t="s">
        <v>208</v>
      </c>
      <c r="C32" s="270">
        <v>2320</v>
      </c>
      <c r="D32" s="269"/>
      <c r="E32" s="271">
        <v>45.42</v>
      </c>
      <c r="F32" s="272"/>
      <c r="G32" s="273"/>
      <c r="H32" s="274">
        <v>334824.62</v>
      </c>
      <c r="I32" s="234">
        <v>33482.46</v>
      </c>
      <c r="J32" s="275">
        <v>85366.76</v>
      </c>
      <c r="K32" s="275">
        <v>60904.64</v>
      </c>
      <c r="L32" s="276"/>
      <c r="M32" s="276"/>
      <c r="N32" s="276"/>
      <c r="O32" s="271">
        <v>29168.18</v>
      </c>
      <c r="P32" s="271">
        <v>38150.52</v>
      </c>
      <c r="Q32" s="271">
        <v>722.37</v>
      </c>
      <c r="R32" s="276"/>
      <c r="S32" s="276"/>
      <c r="T32" s="276"/>
      <c r="U32" s="277"/>
      <c r="V32" s="278"/>
      <c r="W32" s="238">
        <f>H32+I32+J32+K32+L32+M32+N32+O32+P32+Q32+R32+S32+T32+U32+V32</f>
        <v>582619.55</v>
      </c>
    </row>
    <row r="33" spans="1:23" ht="32.25" customHeight="1" thickBot="1">
      <c r="A33" s="279"/>
      <c r="B33" s="280" t="s">
        <v>209</v>
      </c>
      <c r="C33" s="281"/>
      <c r="D33" s="280"/>
      <c r="E33" s="282">
        <f>E18+E19+E20+E21+E22+E23+E24+E25+E26+E27+E29+E31+E32</f>
        <v>65.92</v>
      </c>
      <c r="F33" s="282"/>
      <c r="G33" s="282"/>
      <c r="H33" s="282">
        <f aca="true" t="shared" si="3" ref="H33:W33">H18+H19+H20+H21+H22+H24+H26+H27+H28+H29+H31+H32+H25+H23</f>
        <v>459588.745</v>
      </c>
      <c r="I33" s="282">
        <f t="shared" si="3"/>
        <v>45958.8725</v>
      </c>
      <c r="J33" s="282">
        <f t="shared" si="3"/>
        <v>111734.65775</v>
      </c>
      <c r="K33" s="282">
        <f t="shared" si="3"/>
        <v>86846.104125</v>
      </c>
      <c r="L33" s="282">
        <f t="shared" si="3"/>
        <v>0</v>
      </c>
      <c r="M33" s="282">
        <f t="shared" si="3"/>
        <v>16585.010000000002</v>
      </c>
      <c r="N33" s="282">
        <f t="shared" si="3"/>
        <v>0</v>
      </c>
      <c r="O33" s="282">
        <f t="shared" si="3"/>
        <v>29168.18</v>
      </c>
      <c r="P33" s="282">
        <f t="shared" si="3"/>
        <v>38150.52</v>
      </c>
      <c r="Q33" s="282">
        <f t="shared" si="3"/>
        <v>722.37</v>
      </c>
      <c r="R33" s="282">
        <f t="shared" si="3"/>
        <v>0</v>
      </c>
      <c r="S33" s="282">
        <f t="shared" si="3"/>
        <v>0</v>
      </c>
      <c r="T33" s="282">
        <f t="shared" si="3"/>
        <v>0</v>
      </c>
      <c r="U33" s="282">
        <f t="shared" si="3"/>
        <v>0</v>
      </c>
      <c r="V33" s="282">
        <f t="shared" si="3"/>
        <v>0</v>
      </c>
      <c r="W33" s="282">
        <f t="shared" si="3"/>
        <v>788754.469375</v>
      </c>
    </row>
    <row r="34" spans="1:23" ht="24" customHeight="1">
      <c r="A34" s="228">
        <v>14</v>
      </c>
      <c r="B34" s="283" t="s">
        <v>210</v>
      </c>
      <c r="C34" s="284" t="s">
        <v>211</v>
      </c>
      <c r="D34" s="229"/>
      <c r="E34" s="231">
        <v>1</v>
      </c>
      <c r="F34" s="285">
        <v>4745</v>
      </c>
      <c r="G34" s="286">
        <v>9</v>
      </c>
      <c r="H34" s="250">
        <v>5005</v>
      </c>
      <c r="I34" s="250"/>
      <c r="J34" s="237">
        <v>1001</v>
      </c>
      <c r="K34" s="238"/>
      <c r="L34" s="237">
        <v>750.75</v>
      </c>
      <c r="M34" s="238"/>
      <c r="N34" s="238"/>
      <c r="O34" s="238"/>
      <c r="P34" s="238"/>
      <c r="Q34" s="238"/>
      <c r="R34" s="238"/>
      <c r="S34" s="238"/>
      <c r="T34" s="238"/>
      <c r="U34" s="238"/>
      <c r="V34" s="239"/>
      <c r="W34" s="238">
        <f>H34+I34+J34+K34+L34+M34+N34+O34+P34+Q34+R34+S34+T34+U34+V34</f>
        <v>6756.75</v>
      </c>
    </row>
    <row r="35" spans="1:23" ht="38.25" customHeight="1">
      <c r="A35" s="240">
        <v>15</v>
      </c>
      <c r="B35" s="241" t="s">
        <v>212</v>
      </c>
      <c r="C35" s="242">
        <v>3231</v>
      </c>
      <c r="D35" s="241"/>
      <c r="E35" s="243">
        <v>1</v>
      </c>
      <c r="F35" s="232">
        <v>4195</v>
      </c>
      <c r="G35" s="233">
        <v>6</v>
      </c>
      <c r="H35" s="287">
        <f aca="true" t="shared" si="4" ref="H35:H104">F35*E35</f>
        <v>4195</v>
      </c>
      <c r="I35" s="250"/>
      <c r="J35" s="238">
        <v>419.5</v>
      </c>
      <c r="K35" s="238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39">
        <f>6700*E35-H35-I35-J35-K35-L35-M35-N35-O35-P35-Q35-U35</f>
        <v>2085.5</v>
      </c>
      <c r="W35" s="238">
        <f>H35+I35+J35+K35+L35+M35+N35+O35+P35+Q35+R35+S35+T35+U35+V35</f>
        <v>6700</v>
      </c>
    </row>
    <row r="36" spans="1:23" ht="20.25" customHeight="1" hidden="1">
      <c r="A36" s="240">
        <v>8</v>
      </c>
      <c r="B36" s="241" t="s">
        <v>213</v>
      </c>
      <c r="C36" s="242"/>
      <c r="D36" s="241"/>
      <c r="E36" s="243"/>
      <c r="F36" s="232"/>
      <c r="G36" s="233">
        <v>9</v>
      </c>
      <c r="H36" s="250">
        <f t="shared" si="4"/>
        <v>0</v>
      </c>
      <c r="I36" s="250"/>
      <c r="J36" s="238"/>
      <c r="K36" s="238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39">
        <f>6500*E36-H36-I36-J36-K36-L36-M36-N36-O36-P36-Q36-U36</f>
        <v>0</v>
      </c>
      <c r="W36" s="238">
        <f t="shared" si="2"/>
        <v>0</v>
      </c>
    </row>
    <row r="37" spans="1:23" ht="52.5" customHeight="1">
      <c r="A37" s="240">
        <v>16</v>
      </c>
      <c r="B37" s="241" t="s">
        <v>214</v>
      </c>
      <c r="C37" s="242">
        <v>1210.1</v>
      </c>
      <c r="D37" s="241"/>
      <c r="E37" s="243">
        <v>1</v>
      </c>
      <c r="F37" s="232">
        <f>F18*85%</f>
        <v>7377.15</v>
      </c>
      <c r="G37" s="245" t="s">
        <v>215</v>
      </c>
      <c r="H37" s="250">
        <f t="shared" si="4"/>
        <v>7377.15</v>
      </c>
      <c r="I37" s="250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>
        <f>H37*15%</f>
        <v>1106.5725</v>
      </c>
      <c r="V37" s="239"/>
      <c r="W37" s="238">
        <f t="shared" si="2"/>
        <v>8483.7225</v>
      </c>
    </row>
    <row r="38" spans="1:23" ht="24.75" customHeight="1">
      <c r="A38" s="240">
        <v>17</v>
      </c>
      <c r="B38" s="288" t="s">
        <v>216</v>
      </c>
      <c r="C38" s="242">
        <v>4115</v>
      </c>
      <c r="D38" s="241"/>
      <c r="E38" s="243">
        <v>1</v>
      </c>
      <c r="F38" s="232">
        <v>3934</v>
      </c>
      <c r="G38" s="233">
        <v>5</v>
      </c>
      <c r="H38" s="250">
        <f t="shared" si="4"/>
        <v>3934</v>
      </c>
      <c r="I38" s="250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39">
        <f>6700*E38-H38-I38-J38-K38-L38-M38-N38-O38-P38-Q38-U38</f>
        <v>2766</v>
      </c>
      <c r="W38" s="238">
        <f t="shared" si="2"/>
        <v>6700</v>
      </c>
    </row>
    <row r="39" spans="1:23" ht="17.25" customHeight="1" hidden="1">
      <c r="A39" s="240">
        <v>10</v>
      </c>
      <c r="B39" s="241" t="s">
        <v>217</v>
      </c>
      <c r="C39" s="242"/>
      <c r="D39" s="241"/>
      <c r="E39" s="249"/>
      <c r="F39" s="232"/>
      <c r="G39" s="233"/>
      <c r="H39" s="250">
        <f t="shared" si="4"/>
        <v>0</v>
      </c>
      <c r="I39" s="250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39">
        <f aca="true" t="shared" si="5" ref="V39:V48">6700*E39-H39-I39-J39-K39-L39-M39-N39-O39-P39-Q39-U39</f>
        <v>0</v>
      </c>
      <c r="W39" s="238">
        <f t="shared" si="2"/>
        <v>0</v>
      </c>
    </row>
    <row r="40" spans="1:23" ht="58.5" customHeight="1">
      <c r="A40" s="240">
        <v>18</v>
      </c>
      <c r="B40" s="241" t="s">
        <v>218</v>
      </c>
      <c r="C40" s="242">
        <v>7129</v>
      </c>
      <c r="D40" s="241"/>
      <c r="E40" s="243">
        <v>1</v>
      </c>
      <c r="F40" s="232">
        <v>3674</v>
      </c>
      <c r="G40" s="233">
        <v>4</v>
      </c>
      <c r="H40" s="250">
        <f t="shared" si="4"/>
        <v>3674</v>
      </c>
      <c r="I40" s="250"/>
      <c r="J40" s="249"/>
      <c r="K40" s="249"/>
      <c r="L40" s="249"/>
      <c r="M40" s="249"/>
      <c r="N40" s="289"/>
      <c r="O40" s="249"/>
      <c r="P40" s="249"/>
      <c r="Q40" s="249"/>
      <c r="R40" s="249"/>
      <c r="S40" s="249"/>
      <c r="T40" s="249"/>
      <c r="U40" s="249"/>
      <c r="V40" s="238">
        <f>E40*6700-H40-I40-J40-K40-L40-M40-N40-U40</f>
        <v>3026</v>
      </c>
      <c r="W40" s="238">
        <f t="shared" si="2"/>
        <v>6700</v>
      </c>
    </row>
    <row r="41" spans="1:23" ht="19.5" customHeight="1">
      <c r="A41" s="240">
        <v>19</v>
      </c>
      <c r="B41" s="241" t="s">
        <v>9</v>
      </c>
      <c r="C41" s="242">
        <v>9162</v>
      </c>
      <c r="D41" s="241"/>
      <c r="E41" s="243">
        <v>1</v>
      </c>
      <c r="F41" s="232">
        <v>2893</v>
      </c>
      <c r="G41" s="233">
        <v>1</v>
      </c>
      <c r="H41" s="250">
        <f t="shared" si="4"/>
        <v>2893</v>
      </c>
      <c r="I41" s="250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39">
        <f t="shared" si="5"/>
        <v>3807</v>
      </c>
      <c r="W41" s="238">
        <f t="shared" si="2"/>
        <v>6700</v>
      </c>
    </row>
    <row r="42" spans="1:23" ht="19.5" customHeight="1">
      <c r="A42" s="240">
        <v>20</v>
      </c>
      <c r="B42" s="241" t="s">
        <v>10</v>
      </c>
      <c r="C42" s="242">
        <v>9152</v>
      </c>
      <c r="D42" s="241"/>
      <c r="E42" s="249">
        <v>2.75</v>
      </c>
      <c r="F42" s="232">
        <v>3153</v>
      </c>
      <c r="G42" s="233">
        <v>2</v>
      </c>
      <c r="H42" s="250">
        <f t="shared" si="4"/>
        <v>8670.75</v>
      </c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90">
        <f>F42*40%*E42</f>
        <v>3468.3</v>
      </c>
      <c r="U42" s="249"/>
      <c r="V42" s="239">
        <f t="shared" si="5"/>
        <v>9754.25</v>
      </c>
      <c r="W42" s="238">
        <f t="shared" si="2"/>
        <v>21893.3</v>
      </c>
    </row>
    <row r="43" spans="1:23" ht="30" customHeight="1">
      <c r="A43" s="240">
        <v>21</v>
      </c>
      <c r="B43" s="267" t="s">
        <v>87</v>
      </c>
      <c r="C43" s="242">
        <v>9132</v>
      </c>
      <c r="D43" s="241"/>
      <c r="E43" s="243">
        <v>6</v>
      </c>
      <c r="F43" s="232">
        <v>3153</v>
      </c>
      <c r="G43" s="233">
        <v>2</v>
      </c>
      <c r="H43" s="250">
        <f t="shared" si="4"/>
        <v>18918</v>
      </c>
      <c r="I43" s="250"/>
      <c r="J43" s="249"/>
      <c r="K43" s="249"/>
      <c r="L43" s="249"/>
      <c r="M43" s="249"/>
      <c r="N43" s="249"/>
      <c r="O43" s="249"/>
      <c r="P43" s="249"/>
      <c r="Q43" s="249"/>
      <c r="R43" s="249"/>
      <c r="S43" s="249">
        <f>F43*4*10%</f>
        <v>1261.2</v>
      </c>
      <c r="T43" s="248"/>
      <c r="U43" s="249"/>
      <c r="V43" s="239">
        <f t="shared" si="5"/>
        <v>21282</v>
      </c>
      <c r="W43" s="238">
        <f t="shared" si="2"/>
        <v>41461.2</v>
      </c>
    </row>
    <row r="44" spans="1:23" ht="14.25" customHeight="1">
      <c r="A44" s="240">
        <v>22</v>
      </c>
      <c r="B44" s="241" t="s">
        <v>219</v>
      </c>
      <c r="C44" s="242">
        <v>3570</v>
      </c>
      <c r="D44" s="241"/>
      <c r="E44" s="243">
        <v>1</v>
      </c>
      <c r="F44" s="232">
        <v>4195</v>
      </c>
      <c r="G44" s="233">
        <v>6</v>
      </c>
      <c r="H44" s="250">
        <f t="shared" si="4"/>
        <v>4195</v>
      </c>
      <c r="I44" s="250"/>
      <c r="J44" s="249"/>
      <c r="K44" s="249"/>
      <c r="L44" s="249"/>
      <c r="M44" s="249"/>
      <c r="N44" s="249"/>
      <c r="O44" s="249"/>
      <c r="P44" s="249"/>
      <c r="Q44" s="249"/>
      <c r="R44" s="249">
        <f>F44*E44*12%</f>
        <v>503.4</v>
      </c>
      <c r="S44" s="249"/>
      <c r="T44" s="248"/>
      <c r="U44" s="249">
        <f>F44*E44*15%</f>
        <v>629.25</v>
      </c>
      <c r="V44" s="239">
        <f t="shared" si="5"/>
        <v>1875.75</v>
      </c>
      <c r="W44" s="238">
        <f t="shared" si="2"/>
        <v>7203.4</v>
      </c>
    </row>
    <row r="45" spans="1:23" ht="14.25" customHeight="1" hidden="1">
      <c r="A45" s="254">
        <v>22</v>
      </c>
      <c r="B45" s="241"/>
      <c r="C45" s="242"/>
      <c r="D45" s="241"/>
      <c r="E45" s="243"/>
      <c r="F45" s="232"/>
      <c r="G45" s="233"/>
      <c r="H45" s="250"/>
      <c r="I45" s="250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8"/>
      <c r="U45" s="249">
        <f>F45*E45*15%</f>
        <v>0</v>
      </c>
      <c r="V45" s="260"/>
      <c r="W45" s="259"/>
    </row>
    <row r="46" spans="1:23" ht="17.25" customHeight="1">
      <c r="A46" s="240">
        <v>23</v>
      </c>
      <c r="B46" s="241" t="s">
        <v>8</v>
      </c>
      <c r="C46" s="242">
        <v>5122</v>
      </c>
      <c r="D46" s="241"/>
      <c r="E46" s="243">
        <v>2</v>
      </c>
      <c r="F46" s="232">
        <v>3934</v>
      </c>
      <c r="G46" s="233">
        <v>5</v>
      </c>
      <c r="H46" s="250">
        <f t="shared" si="4"/>
        <v>7868</v>
      </c>
      <c r="I46" s="250"/>
      <c r="J46" s="249"/>
      <c r="K46" s="249"/>
      <c r="L46" s="249"/>
      <c r="M46" s="248"/>
      <c r="N46" s="249"/>
      <c r="O46" s="249"/>
      <c r="P46" s="249"/>
      <c r="Q46" s="249"/>
      <c r="R46" s="249">
        <f>F46*E46*12%</f>
        <v>944.16</v>
      </c>
      <c r="S46" s="249"/>
      <c r="T46" s="248"/>
      <c r="U46" s="249">
        <f>F46*E46*15%</f>
        <v>1180.2</v>
      </c>
      <c r="V46" s="239">
        <f t="shared" si="5"/>
        <v>4351.8</v>
      </c>
      <c r="W46" s="238">
        <f t="shared" si="2"/>
        <v>14344.16</v>
      </c>
    </row>
    <row r="47" spans="1:23" ht="22.5" customHeight="1">
      <c r="A47" s="240">
        <v>24</v>
      </c>
      <c r="B47" s="241" t="s">
        <v>128</v>
      </c>
      <c r="C47" s="242">
        <v>9132</v>
      </c>
      <c r="D47" s="241"/>
      <c r="E47" s="243">
        <v>1</v>
      </c>
      <c r="F47" s="232">
        <v>2893</v>
      </c>
      <c r="G47" s="233">
        <v>1</v>
      </c>
      <c r="H47" s="250">
        <f t="shared" si="4"/>
        <v>2893</v>
      </c>
      <c r="I47" s="250"/>
      <c r="J47" s="249"/>
      <c r="K47" s="249"/>
      <c r="L47" s="249"/>
      <c r="M47" s="249"/>
      <c r="N47" s="249"/>
      <c r="O47" s="249"/>
      <c r="P47" s="249"/>
      <c r="Q47" s="249"/>
      <c r="R47" s="249">
        <f>F47*12%</f>
        <v>347.15999999999997</v>
      </c>
      <c r="S47" s="249"/>
      <c r="T47" s="248"/>
      <c r="U47" s="249">
        <f>F47*15%</f>
        <v>433.95</v>
      </c>
      <c r="V47" s="239">
        <f t="shared" si="5"/>
        <v>3373.05</v>
      </c>
      <c r="W47" s="238">
        <f t="shared" si="2"/>
        <v>7047.16</v>
      </c>
    </row>
    <row r="48" spans="1:23" ht="21" customHeight="1" thickBot="1">
      <c r="A48" s="268">
        <v>25</v>
      </c>
      <c r="B48" s="291" t="s">
        <v>12</v>
      </c>
      <c r="C48" s="292">
        <v>4131</v>
      </c>
      <c r="D48" s="291"/>
      <c r="E48" s="293">
        <v>1</v>
      </c>
      <c r="F48" s="294">
        <v>3153</v>
      </c>
      <c r="G48" s="295">
        <v>2</v>
      </c>
      <c r="H48" s="296">
        <f t="shared" si="4"/>
        <v>3153</v>
      </c>
      <c r="I48" s="296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97"/>
      <c r="U48" s="271"/>
      <c r="V48" s="239">
        <f t="shared" si="5"/>
        <v>3547</v>
      </c>
      <c r="W48" s="275">
        <f t="shared" si="2"/>
        <v>6700</v>
      </c>
    </row>
    <row r="49" spans="1:25" ht="30" customHeight="1" thickBot="1">
      <c r="A49" s="279"/>
      <c r="B49" s="970" t="s">
        <v>220</v>
      </c>
      <c r="C49" s="971"/>
      <c r="D49" s="971"/>
      <c r="E49" s="971"/>
      <c r="F49" s="971"/>
      <c r="G49" s="971"/>
      <c r="H49" s="971"/>
      <c r="I49" s="971"/>
      <c r="J49" s="971"/>
      <c r="K49" s="971"/>
      <c r="L49" s="971"/>
      <c r="M49" s="971"/>
      <c r="N49" s="971"/>
      <c r="O49" s="971"/>
      <c r="P49" s="971"/>
      <c r="Q49" s="971"/>
      <c r="R49" s="971"/>
      <c r="S49" s="971"/>
      <c r="T49" s="971"/>
      <c r="U49" s="971"/>
      <c r="V49" s="971"/>
      <c r="W49" s="971"/>
      <c r="X49" s="204"/>
      <c r="Y49" s="204"/>
    </row>
    <row r="50" spans="1:25" ht="19.5" customHeight="1">
      <c r="A50" s="228">
        <v>26</v>
      </c>
      <c r="B50" s="298" t="s">
        <v>27</v>
      </c>
      <c r="C50" s="299" t="s">
        <v>120</v>
      </c>
      <c r="D50" s="298"/>
      <c r="E50" s="299">
        <v>1</v>
      </c>
      <c r="F50" s="285">
        <v>5005</v>
      </c>
      <c r="G50" s="286">
        <v>9</v>
      </c>
      <c r="H50" s="250">
        <f t="shared" si="4"/>
        <v>5005</v>
      </c>
      <c r="I50" s="250">
        <f>H50*10%</f>
        <v>500.5</v>
      </c>
      <c r="J50" s="237">
        <f>(H50+I50+L50+M50)*30%</f>
        <v>1801.8</v>
      </c>
      <c r="K50" s="237">
        <f>(H50+I50+M50+L50)*10%</f>
        <v>600.6</v>
      </c>
      <c r="L50" s="237"/>
      <c r="M50" s="237">
        <f>F50*10%</f>
        <v>500.5</v>
      </c>
      <c r="N50" s="237"/>
      <c r="O50" s="237"/>
      <c r="P50" s="237"/>
      <c r="Q50" s="237"/>
      <c r="R50" s="237"/>
      <c r="S50" s="237"/>
      <c r="T50" s="237"/>
      <c r="U50" s="237"/>
      <c r="V50" s="239"/>
      <c r="W50" s="238">
        <f>H50+I50+J50+K50+L50+M50+N50+O50+P50+Q50+R50+S50+T50+U50+V50</f>
        <v>8408.400000000001</v>
      </c>
      <c r="X50" s="204"/>
      <c r="Y50" s="204"/>
    </row>
    <row r="51" spans="1:25" ht="36.75" customHeight="1">
      <c r="A51" s="240">
        <v>27</v>
      </c>
      <c r="B51" s="300" t="s">
        <v>135</v>
      </c>
      <c r="C51" s="301">
        <v>3475</v>
      </c>
      <c r="D51" s="300"/>
      <c r="E51" s="302">
        <v>0.5</v>
      </c>
      <c r="F51" s="285">
        <v>5005</v>
      </c>
      <c r="G51" s="286">
        <v>9</v>
      </c>
      <c r="H51" s="287">
        <f t="shared" si="4"/>
        <v>2502.5</v>
      </c>
      <c r="I51" s="287">
        <f aca="true" t="shared" si="6" ref="I51:I63">H51*10%</f>
        <v>250.25</v>
      </c>
      <c r="J51" s="237">
        <f>(H51+I51+M51+L51)*10%</f>
        <v>287.7875</v>
      </c>
      <c r="K51" s="248">
        <f>(H51+I51+M51+L51)*10%</f>
        <v>287.7875</v>
      </c>
      <c r="L51" s="248"/>
      <c r="M51" s="248">
        <f>F51*0.125*20%</f>
        <v>125.125</v>
      </c>
      <c r="N51" s="248"/>
      <c r="O51" s="248"/>
      <c r="P51" s="248"/>
      <c r="Q51" s="248"/>
      <c r="R51" s="248"/>
      <c r="S51" s="248"/>
      <c r="T51" s="248"/>
      <c r="U51" s="237"/>
      <c r="V51" s="239"/>
      <c r="W51" s="238">
        <f t="shared" si="2"/>
        <v>3453.45</v>
      </c>
      <c r="X51" s="204"/>
      <c r="Y51" s="204"/>
    </row>
    <row r="52" spans="1:23" ht="22.5" customHeight="1">
      <c r="A52" s="240">
        <v>28</v>
      </c>
      <c r="B52" s="303" t="s">
        <v>11</v>
      </c>
      <c r="C52" s="302" t="s">
        <v>119</v>
      </c>
      <c r="D52" s="303"/>
      <c r="E52" s="302">
        <v>0.5</v>
      </c>
      <c r="F52" s="304">
        <v>7001</v>
      </c>
      <c r="G52" s="286">
        <v>14</v>
      </c>
      <c r="H52" s="250">
        <f>F52*E52</f>
        <v>3500.5</v>
      </c>
      <c r="I52" s="250">
        <f t="shared" si="6"/>
        <v>350.05</v>
      </c>
      <c r="J52" s="237">
        <f>(H52+I52+M52+L52)*30%</f>
        <v>1312.689</v>
      </c>
      <c r="K52" s="248">
        <f>(H52+I52+M52+L52)*10%</f>
        <v>437.56300000000005</v>
      </c>
      <c r="L52" s="248">
        <f>H52*10%</f>
        <v>350.05</v>
      </c>
      <c r="M52" s="248">
        <v>175.03</v>
      </c>
      <c r="N52" s="248"/>
      <c r="O52" s="248"/>
      <c r="P52" s="248"/>
      <c r="Q52" s="248"/>
      <c r="R52" s="248"/>
      <c r="S52" s="248"/>
      <c r="T52" s="248"/>
      <c r="U52" s="237"/>
      <c r="V52" s="239"/>
      <c r="W52" s="238">
        <f>H52+I52+J52+K52+L52+M52+N52+O52+P52+Q52+R52+S52+T52+U52+V52</f>
        <v>6125.8820000000005</v>
      </c>
    </row>
    <row r="53" spans="1:23" ht="22.5" customHeight="1">
      <c r="A53" s="240">
        <v>29</v>
      </c>
      <c r="B53" s="303" t="s">
        <v>13</v>
      </c>
      <c r="C53" s="302" t="s">
        <v>121</v>
      </c>
      <c r="D53" s="303"/>
      <c r="E53" s="302">
        <v>0.25</v>
      </c>
      <c r="F53" s="285">
        <v>5265</v>
      </c>
      <c r="G53" s="286">
        <v>10</v>
      </c>
      <c r="H53" s="250">
        <f>F53*E53</f>
        <v>1316.25</v>
      </c>
      <c r="I53" s="250">
        <f t="shared" si="6"/>
        <v>131.625</v>
      </c>
      <c r="J53" s="237">
        <f>(H53+I53+M53+L53)*10%</f>
        <v>157.95050000000003</v>
      </c>
      <c r="K53" s="305">
        <f>(H53+I53+M53)*10%</f>
        <v>157.95050000000003</v>
      </c>
      <c r="L53" s="248"/>
      <c r="M53" s="248">
        <v>131.63</v>
      </c>
      <c r="N53" s="248"/>
      <c r="O53" s="248"/>
      <c r="P53" s="248"/>
      <c r="Q53" s="248"/>
      <c r="R53" s="248"/>
      <c r="S53" s="248"/>
      <c r="T53" s="248"/>
      <c r="U53" s="237"/>
      <c r="V53" s="239"/>
      <c r="W53" s="238">
        <f t="shared" si="2"/>
        <v>1895.406</v>
      </c>
    </row>
    <row r="54" spans="1:23" ht="19.5" customHeight="1">
      <c r="A54" s="240">
        <v>30</v>
      </c>
      <c r="B54" s="303" t="s">
        <v>13</v>
      </c>
      <c r="C54" s="302" t="s">
        <v>121</v>
      </c>
      <c r="D54" s="303"/>
      <c r="E54" s="302">
        <v>0.25</v>
      </c>
      <c r="F54" s="285">
        <v>5699</v>
      </c>
      <c r="G54" s="286">
        <v>11</v>
      </c>
      <c r="H54" s="234">
        <f>F54*E54</f>
        <v>1424.75</v>
      </c>
      <c r="I54" s="234">
        <f t="shared" si="6"/>
        <v>142.475</v>
      </c>
      <c r="J54" s="237">
        <f>(H54+I54+M54+L54)*10%</f>
        <v>156.7225</v>
      </c>
      <c r="K54" s="305">
        <f>(H54+I54+M54)*10%</f>
        <v>156.7225</v>
      </c>
      <c r="L54" s="248"/>
      <c r="M54" s="248"/>
      <c r="N54" s="305"/>
      <c r="O54" s="305"/>
      <c r="P54" s="305"/>
      <c r="Q54" s="305"/>
      <c r="R54" s="305"/>
      <c r="S54" s="305"/>
      <c r="T54" s="305"/>
      <c r="U54" s="306"/>
      <c r="V54" s="239"/>
      <c r="W54" s="307">
        <f t="shared" si="2"/>
        <v>1880.67</v>
      </c>
    </row>
    <row r="55" spans="1:23" ht="18.75" customHeight="1">
      <c r="A55" s="240">
        <v>31</v>
      </c>
      <c r="B55" s="303" t="s">
        <v>15</v>
      </c>
      <c r="C55" s="302">
        <v>2340</v>
      </c>
      <c r="D55" s="303"/>
      <c r="E55" s="302">
        <v>1</v>
      </c>
      <c r="F55" s="285">
        <v>6567</v>
      </c>
      <c r="G55" s="286">
        <v>13</v>
      </c>
      <c r="H55" s="250">
        <f t="shared" si="4"/>
        <v>6567</v>
      </c>
      <c r="I55" s="250">
        <f t="shared" si="6"/>
        <v>656.7</v>
      </c>
      <c r="J55" s="237">
        <f>(H55+I55+L55+M55)*30%</f>
        <v>2561.13</v>
      </c>
      <c r="K55" s="248">
        <f>(H55+I55+M55+L55)*10%</f>
        <v>853.71</v>
      </c>
      <c r="L55" s="248"/>
      <c r="M55" s="248">
        <f>F55*20%</f>
        <v>1313.4</v>
      </c>
      <c r="N55" s="248"/>
      <c r="O55" s="248"/>
      <c r="P55" s="248"/>
      <c r="Q55" s="248"/>
      <c r="R55" s="248"/>
      <c r="S55" s="248"/>
      <c r="T55" s="248"/>
      <c r="U55" s="237"/>
      <c r="V55" s="239"/>
      <c r="W55" s="238">
        <f t="shared" si="2"/>
        <v>11951.94</v>
      </c>
    </row>
    <row r="56" spans="1:23" ht="33" customHeight="1">
      <c r="A56" s="240">
        <v>32</v>
      </c>
      <c r="B56" s="267" t="s">
        <v>129</v>
      </c>
      <c r="C56" s="221">
        <v>3231</v>
      </c>
      <c r="D56" s="267"/>
      <c r="E56" s="302">
        <v>1</v>
      </c>
      <c r="F56" s="285">
        <v>4195</v>
      </c>
      <c r="G56" s="286">
        <v>6</v>
      </c>
      <c r="H56" s="287">
        <f t="shared" si="4"/>
        <v>4195</v>
      </c>
      <c r="I56" s="250"/>
      <c r="J56" s="237">
        <f>(H56+I56+L56+M56)*20%</f>
        <v>922.9000000000001</v>
      </c>
      <c r="K56" s="248"/>
      <c r="L56" s="248">
        <f>F56*10%</f>
        <v>419.5</v>
      </c>
      <c r="M56" s="248"/>
      <c r="N56" s="248"/>
      <c r="O56" s="248"/>
      <c r="P56" s="248"/>
      <c r="Q56" s="248"/>
      <c r="R56" s="248"/>
      <c r="S56" s="248"/>
      <c r="T56" s="248"/>
      <c r="U56" s="237"/>
      <c r="V56" s="239">
        <f>6700*E56-H56-I56-J56-K56-L56-M56-N56-O56-P56-Q56-U56</f>
        <v>1162.6</v>
      </c>
      <c r="W56" s="238">
        <f t="shared" si="2"/>
        <v>6700</v>
      </c>
    </row>
    <row r="57" spans="1:23" ht="33.75" customHeight="1">
      <c r="A57" s="240">
        <v>33</v>
      </c>
      <c r="B57" s="300" t="s">
        <v>162</v>
      </c>
      <c r="C57" s="301">
        <v>2332</v>
      </c>
      <c r="D57" s="300"/>
      <c r="E57" s="302">
        <v>1</v>
      </c>
      <c r="F57" s="285">
        <v>7001</v>
      </c>
      <c r="G57" s="286">
        <v>14</v>
      </c>
      <c r="H57" s="287">
        <f>F57*E57</f>
        <v>7001</v>
      </c>
      <c r="I57" s="287">
        <f t="shared" si="6"/>
        <v>700.1</v>
      </c>
      <c r="J57" s="237">
        <v>2310.33</v>
      </c>
      <c r="K57" s="248">
        <v>770.11</v>
      </c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39"/>
      <c r="W57" s="238">
        <f t="shared" si="2"/>
        <v>10781.54</v>
      </c>
    </row>
    <row r="58" spans="1:23" ht="30" customHeight="1">
      <c r="A58" s="240">
        <v>34</v>
      </c>
      <c r="B58" s="300" t="s">
        <v>221</v>
      </c>
      <c r="C58" s="301">
        <v>2332</v>
      </c>
      <c r="D58" s="300"/>
      <c r="E58" s="302">
        <v>1</v>
      </c>
      <c r="F58" s="285">
        <v>6567</v>
      </c>
      <c r="G58" s="308" t="s">
        <v>45</v>
      </c>
      <c r="H58" s="250">
        <f t="shared" si="4"/>
        <v>6567</v>
      </c>
      <c r="I58" s="250">
        <f t="shared" si="6"/>
        <v>656.7</v>
      </c>
      <c r="J58" s="237">
        <f>(H58+I58+L58+M58)*20%</f>
        <v>1707.42</v>
      </c>
      <c r="K58" s="248">
        <f>(H58+I58+M58)*10%</f>
        <v>853.71</v>
      </c>
      <c r="L58" s="248"/>
      <c r="M58" s="237">
        <f>H58*20%</f>
        <v>1313.4</v>
      </c>
      <c r="N58" s="248"/>
      <c r="O58" s="248"/>
      <c r="P58" s="248"/>
      <c r="Q58" s="248"/>
      <c r="R58" s="248"/>
      <c r="S58" s="248"/>
      <c r="T58" s="248"/>
      <c r="U58" s="248"/>
      <c r="V58" s="239"/>
      <c r="W58" s="238">
        <f t="shared" si="2"/>
        <v>11098.229999999998</v>
      </c>
    </row>
    <row r="59" spans="1:23" ht="24" customHeight="1" hidden="1">
      <c r="A59" s="240">
        <v>32</v>
      </c>
      <c r="B59" s="309" t="s">
        <v>222</v>
      </c>
      <c r="C59" s="310"/>
      <c r="D59" s="309"/>
      <c r="E59" s="311"/>
      <c r="F59" s="312">
        <v>5660</v>
      </c>
      <c r="G59" s="313" t="s">
        <v>66</v>
      </c>
      <c r="H59" s="314">
        <f t="shared" si="4"/>
        <v>0</v>
      </c>
      <c r="I59" s="314">
        <f t="shared" si="6"/>
        <v>0</v>
      </c>
      <c r="J59" s="315">
        <f>(H59+I59+L59+M59)*20%</f>
        <v>0</v>
      </c>
      <c r="K59" s="316">
        <f>(H59+I59+M59+L59)*10%</f>
        <v>0</v>
      </c>
      <c r="L59" s="316"/>
      <c r="M59" s="315"/>
      <c r="N59" s="316"/>
      <c r="O59" s="316"/>
      <c r="P59" s="316"/>
      <c r="Q59" s="316"/>
      <c r="R59" s="316"/>
      <c r="S59" s="316"/>
      <c r="T59" s="316"/>
      <c r="U59" s="316"/>
      <c r="V59" s="260"/>
      <c r="W59" s="259">
        <f t="shared" si="2"/>
        <v>0</v>
      </c>
    </row>
    <row r="60" spans="1:23" ht="30.75" customHeight="1">
      <c r="A60" s="240">
        <v>35</v>
      </c>
      <c r="B60" s="300" t="s">
        <v>223</v>
      </c>
      <c r="C60" s="301">
        <v>2332</v>
      </c>
      <c r="D60" s="300"/>
      <c r="E60" s="302">
        <v>9.5</v>
      </c>
      <c r="F60" s="285">
        <v>5699</v>
      </c>
      <c r="G60" s="308" t="s">
        <v>53</v>
      </c>
      <c r="H60" s="234">
        <f>F60*E60</f>
        <v>54140.5</v>
      </c>
      <c r="I60" s="234">
        <f t="shared" si="6"/>
        <v>5414.05</v>
      </c>
      <c r="J60" s="237">
        <v>11540.49</v>
      </c>
      <c r="K60" s="248">
        <v>6354.4</v>
      </c>
      <c r="L60" s="248">
        <f>854.85+854.85</f>
        <v>1709.7</v>
      </c>
      <c r="M60" s="237">
        <f>F60*20%*2</f>
        <v>2279.6</v>
      </c>
      <c r="N60" s="248"/>
      <c r="O60" s="248"/>
      <c r="P60" s="248"/>
      <c r="Q60" s="248"/>
      <c r="R60" s="248"/>
      <c r="S60" s="248"/>
      <c r="T60" s="248"/>
      <c r="U60" s="248"/>
      <c r="V60" s="239"/>
      <c r="W60" s="238">
        <f>H60+I60+J60+K60+L60+M60+N60+O60+P60+Q60+R60+S60+T60+U60+V60</f>
        <v>81438.74</v>
      </c>
    </row>
    <row r="61" spans="1:23" ht="31.5" customHeight="1">
      <c r="A61" s="240">
        <v>36</v>
      </c>
      <c r="B61" s="300" t="s">
        <v>223</v>
      </c>
      <c r="C61" s="301">
        <v>2332</v>
      </c>
      <c r="D61" s="300"/>
      <c r="E61" s="302">
        <v>2</v>
      </c>
      <c r="F61" s="285">
        <v>5265</v>
      </c>
      <c r="G61" s="308" t="s">
        <v>54</v>
      </c>
      <c r="H61" s="250">
        <f t="shared" si="4"/>
        <v>10530</v>
      </c>
      <c r="I61" s="250">
        <f t="shared" si="6"/>
        <v>1053</v>
      </c>
      <c r="J61" s="237">
        <v>1948.05</v>
      </c>
      <c r="K61" s="248">
        <f>(H61+I61+M61+L61)*10%</f>
        <v>1263.6000000000001</v>
      </c>
      <c r="L61" s="248"/>
      <c r="M61" s="237">
        <f>F61*20%</f>
        <v>1053</v>
      </c>
      <c r="N61" s="248"/>
      <c r="O61" s="248"/>
      <c r="P61" s="248"/>
      <c r="Q61" s="248"/>
      <c r="R61" s="248"/>
      <c r="S61" s="248"/>
      <c r="T61" s="248"/>
      <c r="U61" s="248"/>
      <c r="V61" s="239"/>
      <c r="W61" s="238">
        <f>H61+I61+J61+K61+L61+M61+N61+O61+P61+Q61+R61+S61+T61+U61+V61</f>
        <v>15847.65</v>
      </c>
    </row>
    <row r="62" spans="1:23" ht="21.75" customHeight="1" hidden="1">
      <c r="A62" s="240"/>
      <c r="B62" s="309" t="s">
        <v>224</v>
      </c>
      <c r="C62" s="310"/>
      <c r="D62" s="309"/>
      <c r="E62" s="311"/>
      <c r="F62" s="312"/>
      <c r="G62" s="313"/>
      <c r="H62" s="314"/>
      <c r="I62" s="314"/>
      <c r="J62" s="315"/>
      <c r="K62" s="248">
        <f>(H62+I62+M62+L62)*10%</f>
        <v>0</v>
      </c>
      <c r="L62" s="316"/>
      <c r="M62" s="315"/>
      <c r="N62" s="316"/>
      <c r="O62" s="316"/>
      <c r="P62" s="316"/>
      <c r="Q62" s="316"/>
      <c r="R62" s="316"/>
      <c r="S62" s="316"/>
      <c r="T62" s="316"/>
      <c r="U62" s="316"/>
      <c r="V62" s="260"/>
      <c r="W62" s="259"/>
    </row>
    <row r="63" spans="1:23" ht="21.75" customHeight="1">
      <c r="A63" s="240">
        <v>37</v>
      </c>
      <c r="B63" s="300" t="s">
        <v>224</v>
      </c>
      <c r="C63" s="301">
        <v>3330</v>
      </c>
      <c r="D63" s="300"/>
      <c r="E63" s="302">
        <v>1</v>
      </c>
      <c r="F63" s="285">
        <v>5265</v>
      </c>
      <c r="G63" s="308" t="s">
        <v>54</v>
      </c>
      <c r="H63" s="250">
        <f t="shared" si="4"/>
        <v>5265</v>
      </c>
      <c r="I63" s="250">
        <f t="shared" si="6"/>
        <v>526.5</v>
      </c>
      <c r="J63" s="237">
        <f>(H63+I63+M63)*20%</f>
        <v>1368.9</v>
      </c>
      <c r="K63" s="248">
        <f>(H63+I63+M63+L63)*10%</f>
        <v>684.45</v>
      </c>
      <c r="L63" s="248"/>
      <c r="M63" s="237">
        <f>H63*20%</f>
        <v>1053</v>
      </c>
      <c r="N63" s="248"/>
      <c r="O63" s="248"/>
      <c r="P63" s="248"/>
      <c r="Q63" s="248"/>
      <c r="R63" s="248"/>
      <c r="S63" s="248"/>
      <c r="T63" s="248"/>
      <c r="U63" s="248"/>
      <c r="V63" s="239"/>
      <c r="W63" s="238">
        <f t="shared" si="2"/>
        <v>8897.849999999999</v>
      </c>
    </row>
    <row r="64" spans="1:23" ht="42.75" customHeight="1">
      <c r="A64" s="240">
        <v>38</v>
      </c>
      <c r="B64" s="300" t="s">
        <v>25</v>
      </c>
      <c r="C64" s="301">
        <v>5131</v>
      </c>
      <c r="D64" s="300"/>
      <c r="E64" s="302">
        <v>6.25</v>
      </c>
      <c r="F64" s="285">
        <v>4195</v>
      </c>
      <c r="G64" s="286">
        <v>6</v>
      </c>
      <c r="H64" s="250">
        <f t="shared" si="4"/>
        <v>26218.75</v>
      </c>
      <c r="I64" s="250"/>
      <c r="J64" s="248"/>
      <c r="K64" s="248"/>
      <c r="L64" s="248"/>
      <c r="M64" s="248">
        <f>F64*1.25*3*20%</f>
        <v>3146.25</v>
      </c>
      <c r="N64" s="248"/>
      <c r="O64" s="248"/>
      <c r="P64" s="248"/>
      <c r="Q64" s="248"/>
      <c r="R64" s="248"/>
      <c r="S64" s="248"/>
      <c r="T64" s="248"/>
      <c r="U64" s="248"/>
      <c r="V64" s="239">
        <f>6700*E64-H64-I64-J64-K64-L64-M64-N64-O64-P64-Q64-U64</f>
        <v>12510</v>
      </c>
      <c r="W64" s="238">
        <f t="shared" si="2"/>
        <v>41875</v>
      </c>
    </row>
    <row r="65" spans="1:23" ht="45.75" customHeight="1">
      <c r="A65" s="240">
        <v>39</v>
      </c>
      <c r="B65" s="300" t="s">
        <v>17</v>
      </c>
      <c r="C65" s="301">
        <v>5131</v>
      </c>
      <c r="D65" s="300"/>
      <c r="E65" s="302">
        <v>1.25</v>
      </c>
      <c r="F65" s="285">
        <v>4195</v>
      </c>
      <c r="G65" s="286">
        <v>6</v>
      </c>
      <c r="H65" s="250">
        <f t="shared" si="4"/>
        <v>5243.75</v>
      </c>
      <c r="I65" s="250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39">
        <f aca="true" t="shared" si="7" ref="V65:V81">6700*E65-H65-I65-J65-K65-L65-M65-N65-O65-P65-Q65-U65</f>
        <v>3131.25</v>
      </c>
      <c r="W65" s="238">
        <f t="shared" si="2"/>
        <v>8375</v>
      </c>
    </row>
    <row r="66" spans="1:23" ht="1.5" customHeight="1" hidden="1">
      <c r="A66" s="240">
        <v>35</v>
      </c>
      <c r="B66" s="303"/>
      <c r="C66" s="302"/>
      <c r="D66" s="303"/>
      <c r="E66" s="302"/>
      <c r="F66" s="285">
        <v>1073</v>
      </c>
      <c r="G66" s="286"/>
      <c r="H66" s="250">
        <f t="shared" si="4"/>
        <v>0</v>
      </c>
      <c r="I66" s="250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39">
        <f t="shared" si="7"/>
        <v>0</v>
      </c>
      <c r="W66" s="238">
        <f t="shared" si="2"/>
        <v>0</v>
      </c>
    </row>
    <row r="67" spans="1:23" ht="20.25" customHeight="1" hidden="1">
      <c r="A67" s="240">
        <v>13</v>
      </c>
      <c r="B67" s="317" t="s">
        <v>225</v>
      </c>
      <c r="C67" s="318"/>
      <c r="D67" s="317"/>
      <c r="E67" s="302"/>
      <c r="F67" s="285"/>
      <c r="G67" s="286"/>
      <c r="H67" s="250">
        <f t="shared" si="4"/>
        <v>0</v>
      </c>
      <c r="I67" s="250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39">
        <f t="shared" si="7"/>
        <v>0</v>
      </c>
      <c r="W67" s="238">
        <f t="shared" si="2"/>
        <v>0</v>
      </c>
    </row>
    <row r="68" spans="1:23" ht="15" hidden="1">
      <c r="A68" s="240"/>
      <c r="B68" s="303"/>
      <c r="C68" s="302"/>
      <c r="D68" s="303"/>
      <c r="E68" s="302"/>
      <c r="F68" s="285"/>
      <c r="G68" s="286"/>
      <c r="H68" s="250">
        <f t="shared" si="4"/>
        <v>0</v>
      </c>
      <c r="I68" s="250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39">
        <f t="shared" si="7"/>
        <v>0</v>
      </c>
      <c r="W68" s="238">
        <f t="shared" si="2"/>
        <v>0</v>
      </c>
    </row>
    <row r="69" spans="1:23" ht="23.25" customHeight="1">
      <c r="A69" s="240">
        <v>40</v>
      </c>
      <c r="B69" s="303" t="s">
        <v>8</v>
      </c>
      <c r="C69" s="302">
        <v>5122</v>
      </c>
      <c r="D69" s="303"/>
      <c r="E69" s="302">
        <v>2</v>
      </c>
      <c r="F69" s="285">
        <v>3934</v>
      </c>
      <c r="G69" s="286">
        <v>5</v>
      </c>
      <c r="H69" s="250">
        <f t="shared" si="4"/>
        <v>7868</v>
      </c>
      <c r="I69" s="250"/>
      <c r="J69" s="248"/>
      <c r="K69" s="248"/>
      <c r="L69" s="248"/>
      <c r="M69" s="248"/>
      <c r="N69" s="248"/>
      <c r="O69" s="248"/>
      <c r="P69" s="248"/>
      <c r="Q69" s="248"/>
      <c r="R69" s="248">
        <f>F69*E69*12%</f>
        <v>944.16</v>
      </c>
      <c r="S69" s="248"/>
      <c r="T69" s="248"/>
      <c r="U69" s="248">
        <f>F69*20%</f>
        <v>786.8000000000001</v>
      </c>
      <c r="V69" s="239">
        <f t="shared" si="7"/>
        <v>4745.2</v>
      </c>
      <c r="W69" s="238">
        <f t="shared" si="2"/>
        <v>14344.16</v>
      </c>
    </row>
    <row r="70" spans="1:23" ht="23.25" customHeight="1">
      <c r="A70" s="240">
        <v>41</v>
      </c>
      <c r="B70" s="241" t="s">
        <v>128</v>
      </c>
      <c r="C70" s="242">
        <v>9132</v>
      </c>
      <c r="D70" s="267"/>
      <c r="E70" s="302">
        <v>0.5</v>
      </c>
      <c r="F70" s="285">
        <v>2893</v>
      </c>
      <c r="G70" s="286">
        <v>1</v>
      </c>
      <c r="H70" s="250">
        <f t="shared" si="4"/>
        <v>1446.5</v>
      </c>
      <c r="I70" s="250"/>
      <c r="J70" s="248"/>
      <c r="K70" s="248"/>
      <c r="L70" s="248"/>
      <c r="M70" s="248"/>
      <c r="N70" s="248"/>
      <c r="O70" s="248"/>
      <c r="P70" s="248"/>
      <c r="Q70" s="248"/>
      <c r="R70" s="248">
        <f>F70*E70*12%</f>
        <v>173.57999999999998</v>
      </c>
      <c r="S70" s="248"/>
      <c r="T70" s="248"/>
      <c r="U70" s="248">
        <f>F70*E70*15%</f>
        <v>216.975</v>
      </c>
      <c r="V70" s="239">
        <f t="shared" si="7"/>
        <v>1686.525</v>
      </c>
      <c r="W70" s="238">
        <f t="shared" si="2"/>
        <v>3523.58</v>
      </c>
    </row>
    <row r="71" spans="1:23" ht="15" hidden="1">
      <c r="A71" s="240"/>
      <c r="B71" s="303"/>
      <c r="C71" s="302"/>
      <c r="D71" s="303"/>
      <c r="E71" s="302"/>
      <c r="F71" s="285">
        <v>1073</v>
      </c>
      <c r="G71" s="286"/>
      <c r="H71" s="250">
        <f t="shared" si="4"/>
        <v>0</v>
      </c>
      <c r="I71" s="250"/>
      <c r="J71" s="248"/>
      <c r="K71" s="248"/>
      <c r="L71" s="248">
        <f>F71*12%*E71</f>
        <v>0</v>
      </c>
      <c r="M71" s="248"/>
      <c r="N71" s="248"/>
      <c r="O71" s="248"/>
      <c r="P71" s="248"/>
      <c r="Q71" s="248"/>
      <c r="R71" s="248">
        <f>F71*E71*12%</f>
        <v>0</v>
      </c>
      <c r="S71" s="248"/>
      <c r="T71" s="248"/>
      <c r="U71" s="248"/>
      <c r="V71" s="239">
        <f t="shared" si="7"/>
        <v>0</v>
      </c>
      <c r="W71" s="238">
        <f t="shared" si="2"/>
        <v>0</v>
      </c>
    </row>
    <row r="72" spans="1:23" ht="17.25" customHeight="1" hidden="1">
      <c r="A72" s="240">
        <v>16</v>
      </c>
      <c r="B72" s="303" t="s">
        <v>23</v>
      </c>
      <c r="C72" s="302"/>
      <c r="D72" s="303"/>
      <c r="E72" s="302"/>
      <c r="F72" s="285"/>
      <c r="G72" s="286">
        <v>2</v>
      </c>
      <c r="H72" s="250">
        <f t="shared" si="4"/>
        <v>0</v>
      </c>
      <c r="I72" s="250"/>
      <c r="J72" s="248"/>
      <c r="K72" s="248"/>
      <c r="L72" s="248"/>
      <c r="M72" s="248"/>
      <c r="N72" s="248"/>
      <c r="O72" s="248"/>
      <c r="P72" s="248"/>
      <c r="Q72" s="248"/>
      <c r="R72" s="248">
        <f>F72*E72*12%</f>
        <v>0</v>
      </c>
      <c r="S72" s="248"/>
      <c r="T72" s="248"/>
      <c r="U72" s="248"/>
      <c r="V72" s="239">
        <f t="shared" si="7"/>
        <v>0</v>
      </c>
      <c r="W72" s="238">
        <f t="shared" si="2"/>
        <v>0</v>
      </c>
    </row>
    <row r="73" spans="1:23" ht="48" customHeight="1">
      <c r="A73" s="240">
        <v>42</v>
      </c>
      <c r="B73" s="300" t="s">
        <v>24</v>
      </c>
      <c r="C73" s="301">
        <v>8264</v>
      </c>
      <c r="D73" s="300"/>
      <c r="E73" s="302">
        <v>1</v>
      </c>
      <c r="F73" s="285">
        <v>3153</v>
      </c>
      <c r="G73" s="286">
        <v>2</v>
      </c>
      <c r="H73" s="250">
        <f t="shared" si="4"/>
        <v>3153</v>
      </c>
      <c r="I73" s="250"/>
      <c r="J73" s="248"/>
      <c r="K73" s="248"/>
      <c r="L73" s="248"/>
      <c r="M73" s="248"/>
      <c r="N73" s="248"/>
      <c r="O73" s="248"/>
      <c r="P73" s="248"/>
      <c r="Q73" s="248"/>
      <c r="R73" s="248">
        <f>F73*E73*12%</f>
        <v>378.36</v>
      </c>
      <c r="S73" s="248"/>
      <c r="T73" s="248"/>
      <c r="U73" s="248"/>
      <c r="V73" s="239">
        <f t="shared" si="7"/>
        <v>3547</v>
      </c>
      <c r="W73" s="238">
        <f t="shared" si="2"/>
        <v>7078.360000000001</v>
      </c>
    </row>
    <row r="74" spans="1:23" ht="68.25" customHeight="1" hidden="1">
      <c r="A74" s="240"/>
      <c r="B74" s="300"/>
      <c r="C74" s="301"/>
      <c r="D74" s="300"/>
      <c r="E74" s="302"/>
      <c r="F74" s="285"/>
      <c r="G74" s="286"/>
      <c r="H74" s="250">
        <f t="shared" si="4"/>
        <v>0</v>
      </c>
      <c r="I74" s="250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39">
        <f t="shared" si="7"/>
        <v>0</v>
      </c>
      <c r="W74" s="238">
        <f t="shared" si="2"/>
        <v>0</v>
      </c>
    </row>
    <row r="75" spans="1:23" ht="15" hidden="1">
      <c r="A75" s="240">
        <v>18</v>
      </c>
      <c r="B75" s="303" t="s">
        <v>226</v>
      </c>
      <c r="C75" s="302"/>
      <c r="D75" s="303"/>
      <c r="E75" s="302"/>
      <c r="F75" s="285">
        <v>1073</v>
      </c>
      <c r="G75" s="286"/>
      <c r="H75" s="250">
        <f t="shared" si="4"/>
        <v>0</v>
      </c>
      <c r="I75" s="250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39">
        <f t="shared" si="7"/>
        <v>0</v>
      </c>
      <c r="W75" s="238">
        <f t="shared" si="2"/>
        <v>0</v>
      </c>
    </row>
    <row r="76" spans="1:23" ht="20.25" customHeight="1">
      <c r="A76" s="240">
        <v>43</v>
      </c>
      <c r="B76" s="303" t="s">
        <v>10</v>
      </c>
      <c r="C76" s="302">
        <v>9152</v>
      </c>
      <c r="D76" s="303"/>
      <c r="E76" s="302">
        <v>2.75</v>
      </c>
      <c r="F76" s="285">
        <v>6153</v>
      </c>
      <c r="G76" s="286">
        <v>2</v>
      </c>
      <c r="H76" s="250">
        <f t="shared" si="4"/>
        <v>16920.75</v>
      </c>
      <c r="I76" s="250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90">
        <f>F76*E76*40%</f>
        <v>6768.3</v>
      </c>
      <c r="U76" s="248"/>
      <c r="V76" s="239">
        <f t="shared" si="7"/>
        <v>1504.25</v>
      </c>
      <c r="W76" s="238">
        <f t="shared" si="2"/>
        <v>25193.3</v>
      </c>
    </row>
    <row r="77" spans="1:23" ht="23.25" customHeight="1">
      <c r="A77" s="240">
        <v>44</v>
      </c>
      <c r="B77" s="303" t="s">
        <v>56</v>
      </c>
      <c r="C77" s="302">
        <v>9162</v>
      </c>
      <c r="D77" s="303"/>
      <c r="E77" s="302">
        <v>0.5</v>
      </c>
      <c r="F77" s="285">
        <v>2893</v>
      </c>
      <c r="G77" s="286">
        <v>1</v>
      </c>
      <c r="H77" s="250">
        <f t="shared" si="4"/>
        <v>1446.5</v>
      </c>
      <c r="I77" s="250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39">
        <f t="shared" si="7"/>
        <v>1903.5</v>
      </c>
      <c r="W77" s="238">
        <f t="shared" si="2"/>
        <v>3350</v>
      </c>
    </row>
    <row r="78" spans="1:23" ht="15" hidden="1">
      <c r="A78" s="240">
        <v>21</v>
      </c>
      <c r="B78" s="303" t="s">
        <v>65</v>
      </c>
      <c r="C78" s="302"/>
      <c r="D78" s="303"/>
      <c r="E78" s="302"/>
      <c r="F78" s="319"/>
      <c r="G78" s="320"/>
      <c r="H78" s="250">
        <f t="shared" si="4"/>
        <v>0</v>
      </c>
      <c r="I78" s="250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>
        <f>(630-F78)*E78</f>
        <v>0</v>
      </c>
      <c r="V78" s="239">
        <f t="shared" si="7"/>
        <v>0</v>
      </c>
      <c r="W78" s="238">
        <f t="shared" si="2"/>
        <v>0</v>
      </c>
    </row>
    <row r="79" spans="1:23" ht="15" hidden="1">
      <c r="A79" s="240">
        <v>22</v>
      </c>
      <c r="B79" s="303" t="s">
        <v>227</v>
      </c>
      <c r="C79" s="302"/>
      <c r="D79" s="303"/>
      <c r="E79" s="302"/>
      <c r="F79" s="319"/>
      <c r="G79" s="320"/>
      <c r="H79" s="250">
        <f t="shared" si="4"/>
        <v>0</v>
      </c>
      <c r="I79" s="250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>
        <f>(630-F79)*E79</f>
        <v>0</v>
      </c>
      <c r="V79" s="239">
        <f t="shared" si="7"/>
        <v>0</v>
      </c>
      <c r="W79" s="238">
        <f t="shared" si="2"/>
        <v>0</v>
      </c>
    </row>
    <row r="80" spans="1:23" ht="15" hidden="1">
      <c r="A80" s="240">
        <v>23</v>
      </c>
      <c r="B80" s="303" t="s">
        <v>228</v>
      </c>
      <c r="C80" s="302"/>
      <c r="D80" s="303"/>
      <c r="E80" s="302"/>
      <c r="F80" s="319"/>
      <c r="G80" s="320"/>
      <c r="H80" s="250">
        <f t="shared" si="4"/>
        <v>0</v>
      </c>
      <c r="I80" s="250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>
        <f>(630-F80)*E80</f>
        <v>0</v>
      </c>
      <c r="V80" s="239">
        <f t="shared" si="7"/>
        <v>0</v>
      </c>
      <c r="W80" s="238">
        <f t="shared" si="2"/>
        <v>0</v>
      </c>
    </row>
    <row r="81" spans="1:23" ht="21.75" customHeight="1" thickBot="1">
      <c r="A81" s="240">
        <v>45</v>
      </c>
      <c r="B81" s="303" t="s">
        <v>12</v>
      </c>
      <c r="C81" s="302">
        <v>4131</v>
      </c>
      <c r="D81" s="303"/>
      <c r="E81" s="302">
        <v>0.25</v>
      </c>
      <c r="F81" s="304">
        <v>3153</v>
      </c>
      <c r="G81" s="286">
        <v>2</v>
      </c>
      <c r="H81" s="250">
        <f t="shared" si="4"/>
        <v>788.25</v>
      </c>
      <c r="I81" s="250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39">
        <f t="shared" si="7"/>
        <v>886.75</v>
      </c>
      <c r="W81" s="238">
        <f t="shared" si="2"/>
        <v>1675</v>
      </c>
    </row>
    <row r="82" spans="1:23" ht="15.75" customHeight="1" hidden="1">
      <c r="A82" s="240"/>
      <c r="B82" s="269"/>
      <c r="C82" s="270"/>
      <c r="D82" s="269"/>
      <c r="E82" s="321"/>
      <c r="F82" s="322"/>
      <c r="G82" s="323"/>
      <c r="H82" s="296">
        <f t="shared" si="4"/>
        <v>0</v>
      </c>
      <c r="I82" s="296"/>
      <c r="J82" s="297"/>
      <c r="K82" s="297"/>
      <c r="L82" s="297"/>
      <c r="M82" s="297"/>
      <c r="N82" s="297"/>
      <c r="O82" s="297"/>
      <c r="P82" s="297"/>
      <c r="Q82" s="297"/>
      <c r="R82" s="297"/>
      <c r="S82" s="297">
        <f>F82*E82*10%</f>
        <v>0</v>
      </c>
      <c r="T82" s="297"/>
      <c r="U82" s="297"/>
      <c r="V82" s="324">
        <f>6500*E82-H82-I82-J82-K82-L82-M82-N82-O82-P82-Q82-U82</f>
        <v>0</v>
      </c>
      <c r="W82" s="275">
        <f t="shared" si="2"/>
        <v>0</v>
      </c>
    </row>
    <row r="83" spans="1:23" ht="30.75" customHeight="1" thickBot="1">
      <c r="A83" s="325"/>
      <c r="B83" s="972" t="s">
        <v>229</v>
      </c>
      <c r="C83" s="973"/>
      <c r="D83" s="973"/>
      <c r="E83" s="973"/>
      <c r="F83" s="973"/>
      <c r="G83" s="973"/>
      <c r="H83" s="973"/>
      <c r="I83" s="973"/>
      <c r="J83" s="973"/>
      <c r="K83" s="973"/>
      <c r="L83" s="973"/>
      <c r="M83" s="973"/>
      <c r="N83" s="973"/>
      <c r="O83" s="973"/>
      <c r="P83" s="973"/>
      <c r="Q83" s="973"/>
      <c r="R83" s="973"/>
      <c r="S83" s="973"/>
      <c r="T83" s="973"/>
      <c r="U83" s="973"/>
      <c r="V83" s="973"/>
      <c r="W83" s="973"/>
    </row>
    <row r="84" spans="1:23" ht="18.75" customHeight="1">
      <c r="A84" s="240">
        <v>46</v>
      </c>
      <c r="B84" s="326" t="s">
        <v>230</v>
      </c>
      <c r="C84" s="327" t="s">
        <v>205</v>
      </c>
      <c r="D84" s="326"/>
      <c r="E84" s="299">
        <v>1</v>
      </c>
      <c r="F84" s="285">
        <v>5699</v>
      </c>
      <c r="G84" s="328">
        <v>11</v>
      </c>
      <c r="H84" s="250">
        <f>F84*E84</f>
        <v>5699</v>
      </c>
      <c r="I84" s="250">
        <f>H84*10%</f>
        <v>569.9</v>
      </c>
      <c r="J84" s="237">
        <f>(H84+I84)*20%</f>
        <v>1253.78</v>
      </c>
      <c r="K84" s="237">
        <f>(H84+I84)*10%</f>
        <v>626.89</v>
      </c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9"/>
      <c r="W84" s="238">
        <f>H84+I84+J84+K84+L84+M84+N84+O84+P84+Q84+R84+S84+T84+U84+V84</f>
        <v>8149.57</v>
      </c>
    </row>
    <row r="85" spans="1:23" ht="26.25" customHeight="1">
      <c r="A85" s="240">
        <v>47</v>
      </c>
      <c r="B85" s="267" t="s">
        <v>231</v>
      </c>
      <c r="C85" s="221" t="s">
        <v>211</v>
      </c>
      <c r="D85" s="267"/>
      <c r="E85" s="302">
        <v>0.75</v>
      </c>
      <c r="F85" s="304">
        <v>5699</v>
      </c>
      <c r="G85" s="329">
        <v>11</v>
      </c>
      <c r="H85" s="250">
        <f>F85*E85</f>
        <v>4274.25</v>
      </c>
      <c r="I85" s="250">
        <f>H85*10%</f>
        <v>427.425</v>
      </c>
      <c r="J85" s="237">
        <f>(H85+I85)*20%</f>
        <v>940.335</v>
      </c>
      <c r="K85" s="237">
        <f>(H85+I85)*10%</f>
        <v>470.1675</v>
      </c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39"/>
      <c r="W85" s="238">
        <f>H85+I85+J85+K85+L85+M85+N85+O85+P85+Q85+R85+S85+T85+U85+V85</f>
        <v>6112.1775</v>
      </c>
    </row>
    <row r="86" spans="1:23" ht="23.25" customHeight="1">
      <c r="A86" s="240">
        <v>48</v>
      </c>
      <c r="B86" s="267" t="s">
        <v>231</v>
      </c>
      <c r="C86" s="221" t="s">
        <v>211</v>
      </c>
      <c r="D86" s="267"/>
      <c r="E86" s="302">
        <v>4.25</v>
      </c>
      <c r="F86" s="304">
        <v>5265</v>
      </c>
      <c r="G86" s="329">
        <v>10</v>
      </c>
      <c r="H86" s="250">
        <f>F86*E86</f>
        <v>22376.25</v>
      </c>
      <c r="I86" s="250">
        <f>H86*10%</f>
        <v>2237.625</v>
      </c>
      <c r="J86" s="248"/>
      <c r="K86" s="248">
        <f>(H86+I86)*10%</f>
        <v>2461.3875000000003</v>
      </c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39">
        <f>6700*E86-H86-I86-J86-K86-L86-M86-N86-O86-P86-Q86-U86</f>
        <v>1399.7374999999997</v>
      </c>
      <c r="W86" s="238">
        <f>H86+I86+J86+K86+L86+M86+N86+O86+P86+Q86+R86+S86+T86+U86+V86</f>
        <v>28475</v>
      </c>
    </row>
    <row r="87" spans="1:23" ht="22.5" customHeight="1" hidden="1">
      <c r="A87" s="240">
        <v>47</v>
      </c>
      <c r="B87" s="267" t="s">
        <v>231</v>
      </c>
      <c r="C87" s="221"/>
      <c r="D87" s="267"/>
      <c r="E87" s="302"/>
      <c r="F87" s="304"/>
      <c r="G87" s="329"/>
      <c r="H87" s="250"/>
      <c r="I87" s="250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39">
        <f>6700*E87-H87-I87-J87-K87-L87-M87-N87-O87-P87-Q87-U87</f>
        <v>0</v>
      </c>
      <c r="W87" s="238">
        <f t="shared" si="2"/>
        <v>0</v>
      </c>
    </row>
    <row r="88" spans="1:23" ht="22.5" customHeight="1">
      <c r="A88" s="240">
        <v>49</v>
      </c>
      <c r="B88" s="267" t="s">
        <v>122</v>
      </c>
      <c r="C88" s="221">
        <v>1239</v>
      </c>
      <c r="D88" s="267"/>
      <c r="E88" s="302">
        <v>1</v>
      </c>
      <c r="F88" s="304">
        <v>4745</v>
      </c>
      <c r="G88" s="329">
        <v>8</v>
      </c>
      <c r="H88" s="250">
        <f t="shared" si="4"/>
        <v>4745</v>
      </c>
      <c r="I88" s="250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>
        <f>H88*50%</f>
        <v>2372.5</v>
      </c>
      <c r="V88" s="239"/>
      <c r="W88" s="238">
        <f t="shared" si="2"/>
        <v>7117.5</v>
      </c>
    </row>
    <row r="89" spans="1:23" ht="20.25" customHeight="1">
      <c r="A89" s="240">
        <v>50</v>
      </c>
      <c r="B89" s="267" t="s">
        <v>10</v>
      </c>
      <c r="C89" s="221">
        <v>9152</v>
      </c>
      <c r="D89" s="267"/>
      <c r="E89" s="302">
        <v>2.75</v>
      </c>
      <c r="F89" s="304">
        <v>3153</v>
      </c>
      <c r="G89" s="329">
        <v>2</v>
      </c>
      <c r="H89" s="250">
        <f>F89*E89</f>
        <v>8670.75</v>
      </c>
      <c r="I89" s="250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>
        <f>F89*E89*40%</f>
        <v>3468.3</v>
      </c>
      <c r="U89" s="248"/>
      <c r="V89" s="239">
        <f>6700*E89-H89-I89-J89-K89-L89-M89-N89-O89-P89-Q89-U89</f>
        <v>9754.25</v>
      </c>
      <c r="W89" s="238">
        <f t="shared" si="2"/>
        <v>21893.3</v>
      </c>
    </row>
    <row r="90" spans="1:23" ht="39.75" customHeight="1">
      <c r="A90" s="240">
        <v>51</v>
      </c>
      <c r="B90" s="267" t="s">
        <v>88</v>
      </c>
      <c r="C90" s="221">
        <v>9132</v>
      </c>
      <c r="D90" s="267"/>
      <c r="E90" s="302">
        <v>3</v>
      </c>
      <c r="F90" s="304">
        <v>3153</v>
      </c>
      <c r="G90" s="329">
        <v>2</v>
      </c>
      <c r="H90" s="250">
        <f t="shared" si="4"/>
        <v>9459</v>
      </c>
      <c r="I90" s="250"/>
      <c r="J90" s="248"/>
      <c r="K90" s="248"/>
      <c r="L90" s="248"/>
      <c r="M90" s="248"/>
      <c r="N90" s="248"/>
      <c r="O90" s="248"/>
      <c r="P90" s="248"/>
      <c r="Q90" s="248"/>
      <c r="R90" s="248"/>
      <c r="S90" s="248">
        <f>F90*E90*10%</f>
        <v>945.9000000000001</v>
      </c>
      <c r="T90" s="330"/>
      <c r="U90" s="248"/>
      <c r="V90" s="239">
        <f aca="true" t="shared" si="8" ref="V90:V104">6700*E90-H90-I90-J90-K90-L90-M90-N90-O90-P90-Q90-U90</f>
        <v>10641</v>
      </c>
      <c r="W90" s="238">
        <f t="shared" si="2"/>
        <v>21045.9</v>
      </c>
    </row>
    <row r="91" spans="1:23" ht="15" hidden="1">
      <c r="A91" s="240"/>
      <c r="B91" s="267"/>
      <c r="C91" s="221"/>
      <c r="D91" s="267"/>
      <c r="E91" s="302"/>
      <c r="F91" s="304"/>
      <c r="G91" s="329"/>
      <c r="H91" s="250">
        <f t="shared" si="4"/>
        <v>0</v>
      </c>
      <c r="I91" s="250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330"/>
      <c r="U91" s="248"/>
      <c r="V91" s="239">
        <f t="shared" si="8"/>
        <v>0</v>
      </c>
      <c r="W91" s="238">
        <f t="shared" si="2"/>
        <v>0</v>
      </c>
    </row>
    <row r="92" spans="1:23" ht="15" hidden="1">
      <c r="A92" s="240"/>
      <c r="B92" s="267"/>
      <c r="C92" s="221"/>
      <c r="D92" s="267"/>
      <c r="E92" s="302"/>
      <c r="F92" s="304"/>
      <c r="G92" s="329"/>
      <c r="H92" s="250">
        <f t="shared" si="4"/>
        <v>0</v>
      </c>
      <c r="I92" s="250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330"/>
      <c r="U92" s="248"/>
      <c r="V92" s="239">
        <f t="shared" si="8"/>
        <v>0</v>
      </c>
      <c r="W92" s="238">
        <f t="shared" si="2"/>
        <v>0</v>
      </c>
    </row>
    <row r="93" spans="1:23" ht="15" hidden="1">
      <c r="A93" s="240"/>
      <c r="B93" s="267"/>
      <c r="C93" s="221"/>
      <c r="D93" s="267"/>
      <c r="E93" s="302"/>
      <c r="F93" s="304"/>
      <c r="G93" s="329"/>
      <c r="H93" s="250">
        <f t="shared" si="4"/>
        <v>0</v>
      </c>
      <c r="I93" s="250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330"/>
      <c r="U93" s="248"/>
      <c r="V93" s="239">
        <f t="shared" si="8"/>
        <v>0</v>
      </c>
      <c r="W93" s="238">
        <f t="shared" si="2"/>
        <v>0</v>
      </c>
    </row>
    <row r="94" spans="1:23" ht="15" hidden="1">
      <c r="A94" s="240"/>
      <c r="B94" s="267"/>
      <c r="C94" s="221"/>
      <c r="D94" s="267"/>
      <c r="E94" s="302"/>
      <c r="F94" s="304"/>
      <c r="G94" s="329"/>
      <c r="H94" s="250">
        <f t="shared" si="4"/>
        <v>0</v>
      </c>
      <c r="I94" s="250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330"/>
      <c r="U94" s="248"/>
      <c r="V94" s="239">
        <f t="shared" si="8"/>
        <v>0</v>
      </c>
      <c r="W94" s="238">
        <f t="shared" si="2"/>
        <v>0</v>
      </c>
    </row>
    <row r="95" spans="1:23" ht="15" hidden="1">
      <c r="A95" s="240"/>
      <c r="B95" s="267"/>
      <c r="C95" s="221"/>
      <c r="D95" s="267"/>
      <c r="E95" s="302"/>
      <c r="F95" s="304"/>
      <c r="G95" s="329"/>
      <c r="H95" s="250">
        <f t="shared" si="4"/>
        <v>0</v>
      </c>
      <c r="I95" s="250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330"/>
      <c r="U95" s="248"/>
      <c r="V95" s="239">
        <f t="shared" si="8"/>
        <v>0</v>
      </c>
      <c r="W95" s="238">
        <f t="shared" si="2"/>
        <v>0</v>
      </c>
    </row>
    <row r="96" spans="1:23" ht="15" hidden="1">
      <c r="A96" s="240"/>
      <c r="B96" s="267"/>
      <c r="C96" s="221"/>
      <c r="D96" s="267"/>
      <c r="E96" s="302"/>
      <c r="F96" s="304"/>
      <c r="G96" s="329"/>
      <c r="H96" s="250">
        <f t="shared" si="4"/>
        <v>0</v>
      </c>
      <c r="I96" s="250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330"/>
      <c r="U96" s="248"/>
      <c r="V96" s="239">
        <f t="shared" si="8"/>
        <v>0</v>
      </c>
      <c r="W96" s="238">
        <f t="shared" si="2"/>
        <v>0</v>
      </c>
    </row>
    <row r="97" spans="1:23" ht="15" hidden="1">
      <c r="A97" s="240"/>
      <c r="B97" s="267"/>
      <c r="C97" s="221"/>
      <c r="D97" s="267"/>
      <c r="E97" s="302"/>
      <c r="F97" s="304"/>
      <c r="G97" s="329"/>
      <c r="H97" s="250">
        <f t="shared" si="4"/>
        <v>0</v>
      </c>
      <c r="I97" s="250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330"/>
      <c r="U97" s="248"/>
      <c r="V97" s="239">
        <f t="shared" si="8"/>
        <v>0</v>
      </c>
      <c r="W97" s="238">
        <f aca="true" t="shared" si="9" ref="W97:W104">H97+I97+J97+K97+L97+M97+N97+O97+P97+Q97+R97+S97+T97+U97+V97</f>
        <v>0</v>
      </c>
    </row>
    <row r="98" spans="1:23" ht="15" hidden="1">
      <c r="A98" s="240"/>
      <c r="B98" s="267"/>
      <c r="C98" s="221"/>
      <c r="D98" s="267"/>
      <c r="E98" s="302"/>
      <c r="F98" s="304"/>
      <c r="G98" s="329"/>
      <c r="H98" s="250">
        <f t="shared" si="4"/>
        <v>0</v>
      </c>
      <c r="I98" s="250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330"/>
      <c r="U98" s="248"/>
      <c r="V98" s="239">
        <f t="shared" si="8"/>
        <v>0</v>
      </c>
      <c r="W98" s="238">
        <f t="shared" si="9"/>
        <v>0</v>
      </c>
    </row>
    <row r="99" spans="1:23" ht="15" hidden="1">
      <c r="A99" s="240"/>
      <c r="B99" s="267"/>
      <c r="C99" s="221"/>
      <c r="D99" s="267"/>
      <c r="E99" s="302"/>
      <c r="F99" s="304"/>
      <c r="G99" s="329"/>
      <c r="H99" s="250">
        <f t="shared" si="4"/>
        <v>0</v>
      </c>
      <c r="I99" s="250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330"/>
      <c r="U99" s="248"/>
      <c r="V99" s="239">
        <f t="shared" si="8"/>
        <v>0</v>
      </c>
      <c r="W99" s="238">
        <f t="shared" si="9"/>
        <v>0</v>
      </c>
    </row>
    <row r="100" spans="1:23" ht="15" hidden="1">
      <c r="A100" s="240"/>
      <c r="B100" s="267"/>
      <c r="C100" s="221"/>
      <c r="D100" s="267"/>
      <c r="E100" s="302"/>
      <c r="F100" s="304"/>
      <c r="G100" s="329"/>
      <c r="H100" s="250">
        <f t="shared" si="4"/>
        <v>0</v>
      </c>
      <c r="I100" s="250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330"/>
      <c r="U100" s="248"/>
      <c r="V100" s="239">
        <f t="shared" si="8"/>
        <v>0</v>
      </c>
      <c r="W100" s="238">
        <f t="shared" si="9"/>
        <v>0</v>
      </c>
    </row>
    <row r="101" spans="1:23" ht="15" hidden="1">
      <c r="A101" s="240"/>
      <c r="B101" s="267"/>
      <c r="C101" s="221"/>
      <c r="D101" s="267"/>
      <c r="E101" s="302"/>
      <c r="F101" s="304"/>
      <c r="G101" s="329"/>
      <c r="H101" s="250">
        <f t="shared" si="4"/>
        <v>0</v>
      </c>
      <c r="I101" s="250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330"/>
      <c r="U101" s="248"/>
      <c r="V101" s="239">
        <f t="shared" si="8"/>
        <v>0</v>
      </c>
      <c r="W101" s="238">
        <f t="shared" si="9"/>
        <v>0</v>
      </c>
    </row>
    <row r="102" spans="1:23" ht="15" hidden="1">
      <c r="A102" s="240"/>
      <c r="B102" s="267"/>
      <c r="C102" s="221"/>
      <c r="D102" s="267"/>
      <c r="E102" s="302"/>
      <c r="F102" s="304"/>
      <c r="G102" s="329"/>
      <c r="H102" s="250">
        <f t="shared" si="4"/>
        <v>0</v>
      </c>
      <c r="I102" s="250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330"/>
      <c r="U102" s="248"/>
      <c r="V102" s="239">
        <f t="shared" si="8"/>
        <v>0</v>
      </c>
      <c r="W102" s="238">
        <f t="shared" si="9"/>
        <v>0</v>
      </c>
    </row>
    <row r="103" spans="1:23" ht="47.25" customHeight="1">
      <c r="A103" s="240">
        <v>52</v>
      </c>
      <c r="B103" s="241" t="s">
        <v>218</v>
      </c>
      <c r="C103" s="242">
        <v>7129</v>
      </c>
      <c r="D103" s="241"/>
      <c r="E103" s="301">
        <v>1</v>
      </c>
      <c r="F103" s="233">
        <v>3674</v>
      </c>
      <c r="G103" s="233">
        <v>4</v>
      </c>
      <c r="H103" s="250">
        <f t="shared" si="4"/>
        <v>3674</v>
      </c>
      <c r="I103" s="250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330"/>
      <c r="U103" s="248"/>
      <c r="V103" s="239">
        <f t="shared" si="8"/>
        <v>3026</v>
      </c>
      <c r="W103" s="238">
        <f t="shared" si="9"/>
        <v>6700</v>
      </c>
    </row>
    <row r="104" spans="1:23" ht="20.25" customHeight="1" thickBot="1">
      <c r="A104" s="268">
        <v>53</v>
      </c>
      <c r="B104" s="269" t="s">
        <v>232</v>
      </c>
      <c r="C104" s="270">
        <v>9141</v>
      </c>
      <c r="D104" s="269"/>
      <c r="E104" s="321">
        <v>4</v>
      </c>
      <c r="F104" s="322">
        <v>2893</v>
      </c>
      <c r="G104" s="323">
        <v>1</v>
      </c>
      <c r="H104" s="296">
        <f t="shared" si="4"/>
        <v>11572</v>
      </c>
      <c r="I104" s="296"/>
      <c r="J104" s="297"/>
      <c r="K104" s="297"/>
      <c r="L104" s="297"/>
      <c r="M104" s="297"/>
      <c r="N104" s="297"/>
      <c r="O104" s="297"/>
      <c r="P104" s="297"/>
      <c r="Q104" s="297"/>
      <c r="R104" s="297">
        <f>F104*E104*12%</f>
        <v>1388.6399999999999</v>
      </c>
      <c r="S104" s="297"/>
      <c r="T104" s="331">
        <f>F104*E104*40%</f>
        <v>4628.8</v>
      </c>
      <c r="U104" s="297"/>
      <c r="V104" s="239">
        <f t="shared" si="8"/>
        <v>15228</v>
      </c>
      <c r="W104" s="238">
        <f t="shared" si="9"/>
        <v>32817.44</v>
      </c>
    </row>
    <row r="105" spans="1:23" ht="18.75" customHeight="1" thickBot="1">
      <c r="A105" s="332"/>
      <c r="B105" s="333" t="s">
        <v>233</v>
      </c>
      <c r="C105" s="334"/>
      <c r="D105" s="335"/>
      <c r="E105" s="336">
        <f>E33+E34+E35+E37+E38+E40+E41+E42+E43+E46+E47+E48+E50+E51+E52+E53+E54+E55+E56+E57+E59+E60+E61+E63+E64+E65+E69+E70+E73+E76+E77+E81+E84+E86+E88+E89+E90+E103+E104+E58+E85+E44</f>
        <v>136.92000000000002</v>
      </c>
      <c r="F105" s="337"/>
      <c r="G105" s="337"/>
      <c r="H105" s="336">
        <f aca="true" t="shared" si="10" ref="H105:V105">H33+H34+H35+H37+H38+H40+H41+H42+H43+H46+H47+H48+H50+H51+H52+H53+H54+H55+H56+H57+H59+H60+H61+H63+H64+H65+H69+H70+H73+H76+H77+H81+H84+H86+H88+H89+H90+H103+H104+H58+H85+H44</f>
        <v>773934.895</v>
      </c>
      <c r="I105" s="336">
        <f t="shared" si="10"/>
        <v>59575.7725</v>
      </c>
      <c r="J105" s="336">
        <f t="shared" si="10"/>
        <v>141425.44225</v>
      </c>
      <c r="K105" s="336">
        <f t="shared" si="10"/>
        <v>102825.15262500002</v>
      </c>
      <c r="L105" s="336">
        <f t="shared" si="10"/>
        <v>3230</v>
      </c>
      <c r="M105" s="336">
        <f t="shared" si="10"/>
        <v>27675.945000000003</v>
      </c>
      <c r="N105" s="336">
        <f t="shared" si="10"/>
        <v>0</v>
      </c>
      <c r="O105" s="336">
        <f t="shared" si="10"/>
        <v>29168.18</v>
      </c>
      <c r="P105" s="336">
        <f t="shared" si="10"/>
        <v>38150.52</v>
      </c>
      <c r="Q105" s="336">
        <f t="shared" si="10"/>
        <v>722.37</v>
      </c>
      <c r="R105" s="336">
        <f t="shared" si="10"/>
        <v>4679.459999999999</v>
      </c>
      <c r="S105" s="336">
        <f t="shared" si="10"/>
        <v>2207.1000000000004</v>
      </c>
      <c r="T105" s="336">
        <f t="shared" si="10"/>
        <v>18333.7</v>
      </c>
      <c r="U105" s="336">
        <f t="shared" si="10"/>
        <v>6726.2474999999995</v>
      </c>
      <c r="V105" s="336">
        <f t="shared" si="10"/>
        <v>126994.4125</v>
      </c>
      <c r="W105" s="336">
        <f>W33+W34+W35+W37+W38+W40+W41+W42+W43+W46+W47+W48+W50+W51+W52+W53+W54+W55+W56+W57+W59+W60+W61+W63+W64+W65+W69+W70+W73+W76+W77+W81+W84+W86+W88+W89+W90+W103+W104+W58+W85+W44</f>
        <v>1335649.207375</v>
      </c>
    </row>
    <row r="106" spans="1:23" ht="9.75" customHeight="1">
      <c r="A106" s="197"/>
      <c r="B106" s="204"/>
      <c r="C106" s="217"/>
      <c r="D106" s="204"/>
      <c r="E106" s="338"/>
      <c r="F106" s="338"/>
      <c r="G106" s="339"/>
      <c r="H106" s="339"/>
      <c r="I106" s="339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</row>
    <row r="107" spans="1:23" ht="13.5">
      <c r="A107" s="197"/>
      <c r="B107" s="204"/>
      <c r="C107" s="217"/>
      <c r="D107" s="204"/>
      <c r="E107" s="338"/>
      <c r="F107" s="338"/>
      <c r="G107" s="339"/>
      <c r="H107" s="339"/>
      <c r="I107" s="339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</row>
    <row r="108" spans="1:23" ht="18" customHeight="1">
      <c r="A108" s="197"/>
      <c r="B108" s="341"/>
      <c r="C108" s="342"/>
      <c r="D108" s="341"/>
      <c r="E108" s="343"/>
      <c r="F108" s="214" t="s">
        <v>169</v>
      </c>
      <c r="G108" s="344"/>
      <c r="H108" s="344"/>
      <c r="I108" s="344"/>
      <c r="J108" s="345"/>
      <c r="K108" s="346"/>
      <c r="L108" s="346"/>
      <c r="M108" s="346"/>
      <c r="N108" s="346"/>
      <c r="O108" s="346"/>
      <c r="P108" s="346"/>
      <c r="Q108" s="346"/>
      <c r="R108" s="346" t="s">
        <v>170</v>
      </c>
      <c r="S108" s="346"/>
      <c r="T108" s="340"/>
      <c r="U108" s="340"/>
      <c r="V108" s="340"/>
      <c r="W108" s="340"/>
    </row>
    <row r="110" spans="1:23" ht="18" customHeight="1">
      <c r="A110" s="197"/>
      <c r="B110" s="341"/>
      <c r="C110" s="342"/>
      <c r="D110" s="341"/>
      <c r="E110" s="343"/>
      <c r="F110" s="214" t="s">
        <v>234</v>
      </c>
      <c r="G110" s="344"/>
      <c r="H110" s="344"/>
      <c r="I110" s="344"/>
      <c r="J110" s="345"/>
      <c r="K110" s="346"/>
      <c r="L110" s="346"/>
      <c r="M110" s="346"/>
      <c r="N110" s="346"/>
      <c r="O110" s="346"/>
      <c r="P110" s="346"/>
      <c r="Q110" s="346"/>
      <c r="R110" s="346" t="s">
        <v>167</v>
      </c>
      <c r="S110" s="346"/>
      <c r="T110" s="340"/>
      <c r="U110" s="340"/>
      <c r="V110" s="340"/>
      <c r="W110" s="340"/>
    </row>
    <row r="111" spans="1:23" ht="18.75" customHeight="1">
      <c r="A111" s="197"/>
      <c r="B111" s="204"/>
      <c r="C111" s="217"/>
      <c r="D111" s="204"/>
      <c r="E111" s="204"/>
      <c r="F111" s="204"/>
      <c r="G111" s="218"/>
      <c r="H111" s="218"/>
      <c r="I111" s="218"/>
      <c r="J111" s="204"/>
      <c r="K111" s="204"/>
      <c r="L111" s="204"/>
      <c r="M111" s="204"/>
      <c r="N111" s="204"/>
      <c r="O111" s="204"/>
      <c r="P111" s="204"/>
      <c r="Q111" s="204"/>
      <c r="R111" s="202" t="s">
        <v>235</v>
      </c>
      <c r="T111" s="204"/>
      <c r="U111" s="204"/>
      <c r="V111" s="204"/>
      <c r="W111" s="204"/>
    </row>
    <row r="112" spans="1:23" ht="22.5" customHeight="1" hidden="1">
      <c r="A112" s="197"/>
      <c r="B112" s="204"/>
      <c r="C112" s="217"/>
      <c r="D112" s="204"/>
      <c r="E112" s="204"/>
      <c r="F112" s="204"/>
      <c r="G112" s="218"/>
      <c r="H112" s="218"/>
      <c r="I112" s="218"/>
      <c r="J112" s="204"/>
      <c r="K112" s="204"/>
      <c r="L112" s="204"/>
      <c r="M112" s="204"/>
      <c r="N112" s="204"/>
      <c r="O112" s="204"/>
      <c r="P112" s="204"/>
      <c r="Q112" s="204"/>
      <c r="R112" s="204"/>
      <c r="S112" s="928"/>
      <c r="T112" s="928"/>
      <c r="U112" s="928"/>
      <c r="V112" s="205"/>
      <c r="W112" s="205"/>
    </row>
    <row r="113" spans="1:23" ht="20.25" customHeight="1">
      <c r="A113" s="197"/>
      <c r="B113" s="198"/>
      <c r="C113" s="199"/>
      <c r="D113" s="198"/>
      <c r="E113" s="198"/>
      <c r="F113" s="198"/>
      <c r="G113" s="200"/>
      <c r="H113" s="200"/>
      <c r="I113" s="200"/>
      <c r="J113" s="198"/>
      <c r="K113" s="201"/>
      <c r="L113" s="198"/>
      <c r="M113" s="198"/>
      <c r="N113" s="198"/>
      <c r="O113" s="198"/>
      <c r="P113" s="198"/>
      <c r="Q113" s="198"/>
      <c r="R113" s="929" t="s">
        <v>172</v>
      </c>
      <c r="S113" s="929"/>
      <c r="T113" s="929"/>
      <c r="U113" s="929"/>
      <c r="V113" s="929"/>
      <c r="W113" s="207"/>
    </row>
    <row r="114" spans="1:23" ht="39.75" customHeight="1">
      <c r="A114" s="197"/>
      <c r="B114" s="198"/>
      <c r="C114" s="199"/>
      <c r="D114" s="198"/>
      <c r="E114" s="198"/>
      <c r="F114" s="198"/>
      <c r="G114" s="200"/>
      <c r="H114" s="200"/>
      <c r="I114" s="200"/>
      <c r="J114" s="198"/>
      <c r="K114" s="201"/>
      <c r="L114" s="198"/>
      <c r="M114" s="198"/>
      <c r="N114" s="198"/>
      <c r="O114" s="198"/>
      <c r="P114" s="198"/>
      <c r="Q114" s="198"/>
      <c r="R114" s="930" t="s">
        <v>173</v>
      </c>
      <c r="S114" s="930"/>
      <c r="T114" s="930"/>
      <c r="U114" s="930"/>
      <c r="V114" s="930"/>
      <c r="W114" s="208"/>
    </row>
    <row r="115" spans="1:23" ht="26.25" customHeight="1">
      <c r="A115" s="197"/>
      <c r="B115" s="198"/>
      <c r="C115" s="199"/>
      <c r="D115" s="198"/>
      <c r="E115" s="198"/>
      <c r="F115" s="198"/>
      <c r="G115" s="200"/>
      <c r="H115" s="200"/>
      <c r="I115" s="200"/>
      <c r="J115" s="198"/>
      <c r="K115" s="198"/>
      <c r="L115" s="198"/>
      <c r="M115" s="204"/>
      <c r="N115" s="204"/>
      <c r="O115" s="204"/>
      <c r="P115" s="204"/>
      <c r="Q115" s="204"/>
      <c r="R115" s="931" t="s">
        <v>174</v>
      </c>
      <c r="S115" s="931"/>
      <c r="T115" s="931"/>
      <c r="U115" s="931"/>
      <c r="V115" s="931"/>
      <c r="W115" s="210"/>
    </row>
    <row r="116" spans="1:23" ht="36" customHeight="1">
      <c r="A116" s="197"/>
      <c r="B116" s="198"/>
      <c r="C116" s="199"/>
      <c r="D116" s="198"/>
      <c r="E116" s="198"/>
      <c r="F116" s="198"/>
      <c r="G116" s="200"/>
      <c r="H116" s="200"/>
      <c r="I116" s="200"/>
      <c r="J116" s="198"/>
      <c r="K116" s="198"/>
      <c r="L116" s="198"/>
      <c r="M116" s="198"/>
      <c r="N116" s="198"/>
      <c r="O116" s="198"/>
      <c r="P116" s="198"/>
      <c r="Q116" s="198"/>
      <c r="R116" s="929" t="s">
        <v>236</v>
      </c>
      <c r="S116" s="929"/>
      <c r="T116" s="929"/>
      <c r="U116" s="929"/>
      <c r="V116" s="929"/>
      <c r="W116" s="929"/>
    </row>
    <row r="117" spans="1:23" ht="16.5" customHeight="1">
      <c r="A117" s="197"/>
      <c r="B117" s="347"/>
      <c r="C117" s="348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204"/>
      <c r="P117" s="204"/>
      <c r="Q117" s="204"/>
      <c r="R117" s="204"/>
      <c r="W117" s="349"/>
    </row>
    <row r="118" spans="1:23" ht="16.5">
      <c r="A118" s="197"/>
      <c r="B118" s="932" t="s">
        <v>176</v>
      </c>
      <c r="C118" s="932"/>
      <c r="D118" s="932"/>
      <c r="E118" s="932"/>
      <c r="F118" s="932"/>
      <c r="G118" s="932"/>
      <c r="H118" s="932"/>
      <c r="I118" s="932"/>
      <c r="J118" s="932"/>
      <c r="K118" s="932"/>
      <c r="L118" s="932"/>
      <c r="M118" s="932"/>
      <c r="N118" s="204"/>
      <c r="O118" s="204"/>
      <c r="P118" s="204"/>
      <c r="Q118" s="204"/>
      <c r="R118" s="204"/>
      <c r="S118" s="204"/>
      <c r="T118" s="204"/>
      <c r="U118" s="204"/>
      <c r="V118" s="204"/>
      <c r="W118" s="350"/>
    </row>
    <row r="119" spans="1:23" ht="36" customHeight="1">
      <c r="A119" s="197"/>
      <c r="B119" s="974" t="s">
        <v>237</v>
      </c>
      <c r="C119" s="974"/>
      <c r="D119" s="974"/>
      <c r="E119" s="974"/>
      <c r="F119" s="974"/>
      <c r="G119" s="974"/>
      <c r="H119" s="974"/>
      <c r="I119" s="974"/>
      <c r="J119" s="974"/>
      <c r="K119" s="974"/>
      <c r="L119" s="974"/>
      <c r="M119" s="97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</row>
    <row r="120" spans="1:23" ht="13.5">
      <c r="A120" s="197"/>
      <c r="B120" s="975" t="s">
        <v>7</v>
      </c>
      <c r="C120" s="975"/>
      <c r="D120" s="975"/>
      <c r="E120" s="975"/>
      <c r="F120" s="975"/>
      <c r="G120" s="975"/>
      <c r="H120" s="975"/>
      <c r="I120" s="975"/>
      <c r="J120" s="975"/>
      <c r="K120" s="975"/>
      <c r="L120" s="975"/>
      <c r="M120" s="975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</row>
    <row r="121" spans="1:23" ht="13.5">
      <c r="A121" s="197"/>
      <c r="B121" s="352" t="s">
        <v>238</v>
      </c>
      <c r="C121" s="351"/>
      <c r="D121" s="352"/>
      <c r="E121" s="204"/>
      <c r="F121" s="204"/>
      <c r="G121" s="218"/>
      <c r="H121" s="218"/>
      <c r="I121" s="218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</row>
    <row r="122" spans="1:23" ht="12.75" customHeight="1">
      <c r="A122" s="976" t="s">
        <v>0</v>
      </c>
      <c r="B122" s="353" t="s">
        <v>1</v>
      </c>
      <c r="C122" s="937" t="s">
        <v>117</v>
      </c>
      <c r="D122" s="937" t="s">
        <v>184</v>
      </c>
      <c r="E122" s="354" t="s">
        <v>2</v>
      </c>
      <c r="F122" s="979" t="s">
        <v>34</v>
      </c>
      <c r="G122" s="940" t="s">
        <v>35</v>
      </c>
      <c r="H122" s="980" t="s">
        <v>58</v>
      </c>
      <c r="I122" s="944" t="s">
        <v>39</v>
      </c>
      <c r="J122" s="303" t="s">
        <v>33</v>
      </c>
      <c r="K122" s="303"/>
      <c r="L122" s="303"/>
      <c r="M122" s="303"/>
      <c r="N122" s="303"/>
      <c r="O122" s="981" t="s">
        <v>5</v>
      </c>
      <c r="P122" s="981"/>
      <c r="Q122" s="981"/>
      <c r="R122" s="981"/>
      <c r="S122" s="981"/>
      <c r="T122" s="981"/>
      <c r="U122" s="303"/>
      <c r="V122" s="982" t="s">
        <v>100</v>
      </c>
      <c r="W122" s="983" t="s">
        <v>239</v>
      </c>
    </row>
    <row r="123" spans="1:23" ht="12.75" customHeight="1">
      <c r="A123" s="977"/>
      <c r="B123" s="355" t="s">
        <v>186</v>
      </c>
      <c r="C123" s="938"/>
      <c r="D123" s="938"/>
      <c r="E123" s="356" t="s">
        <v>3</v>
      </c>
      <c r="F123" s="979"/>
      <c r="G123" s="940"/>
      <c r="H123" s="980"/>
      <c r="I123" s="944"/>
      <c r="J123" s="984" t="s">
        <v>187</v>
      </c>
      <c r="K123" s="985" t="s">
        <v>240</v>
      </c>
      <c r="L123" s="987" t="s">
        <v>241</v>
      </c>
      <c r="M123" s="987" t="s">
        <v>242</v>
      </c>
      <c r="N123" s="984" t="s">
        <v>191</v>
      </c>
      <c r="O123" s="962" t="s">
        <v>192</v>
      </c>
      <c r="P123" s="962" t="s">
        <v>193</v>
      </c>
      <c r="Q123" s="988" t="s">
        <v>243</v>
      </c>
      <c r="R123" s="989" t="s">
        <v>244</v>
      </c>
      <c r="S123" s="990" t="s">
        <v>20</v>
      </c>
      <c r="T123" s="990" t="s">
        <v>51</v>
      </c>
      <c r="U123" s="990" t="s">
        <v>196</v>
      </c>
      <c r="V123" s="982"/>
      <c r="W123" s="983"/>
    </row>
    <row r="124" spans="1:23" ht="13.5">
      <c r="A124" s="977"/>
      <c r="B124" s="355"/>
      <c r="C124" s="938"/>
      <c r="D124" s="938"/>
      <c r="E124" s="356" t="s">
        <v>4</v>
      </c>
      <c r="F124" s="979"/>
      <c r="G124" s="940"/>
      <c r="H124" s="980"/>
      <c r="I124" s="944"/>
      <c r="J124" s="984"/>
      <c r="K124" s="986"/>
      <c r="L124" s="987"/>
      <c r="M124" s="987"/>
      <c r="N124" s="984"/>
      <c r="O124" s="962"/>
      <c r="P124" s="962"/>
      <c r="Q124" s="988"/>
      <c r="R124" s="989"/>
      <c r="S124" s="990"/>
      <c r="T124" s="990"/>
      <c r="U124" s="990"/>
      <c r="V124" s="982"/>
      <c r="W124" s="983"/>
    </row>
    <row r="125" spans="1:23" ht="13.5">
      <c r="A125" s="977"/>
      <c r="B125" s="355"/>
      <c r="C125" s="938"/>
      <c r="D125" s="938"/>
      <c r="E125" s="356"/>
      <c r="F125" s="979"/>
      <c r="G125" s="940"/>
      <c r="H125" s="980"/>
      <c r="I125" s="944"/>
      <c r="J125" s="984"/>
      <c r="K125" s="986"/>
      <c r="L125" s="987"/>
      <c r="M125" s="987"/>
      <c r="N125" s="984"/>
      <c r="O125" s="962"/>
      <c r="P125" s="962"/>
      <c r="Q125" s="988"/>
      <c r="R125" s="989"/>
      <c r="S125" s="990"/>
      <c r="T125" s="990"/>
      <c r="U125" s="990"/>
      <c r="V125" s="982"/>
      <c r="W125" s="983"/>
    </row>
    <row r="126" spans="1:23" ht="117" customHeight="1">
      <c r="A126" s="978"/>
      <c r="B126" s="357"/>
      <c r="C126" s="939"/>
      <c r="D126" s="939"/>
      <c r="E126" s="298"/>
      <c r="F126" s="979"/>
      <c r="G126" s="940"/>
      <c r="H126" s="980"/>
      <c r="I126" s="944"/>
      <c r="J126" s="984"/>
      <c r="K126" s="986"/>
      <c r="L126" s="987"/>
      <c r="M126" s="987"/>
      <c r="N126" s="984"/>
      <c r="O126" s="962"/>
      <c r="P126" s="962"/>
      <c r="Q126" s="988"/>
      <c r="R126" s="989"/>
      <c r="S126" s="990"/>
      <c r="T126" s="990"/>
      <c r="U126" s="990"/>
      <c r="V126" s="982"/>
      <c r="W126" s="983"/>
    </row>
    <row r="127" spans="1:23" ht="21.75" customHeight="1">
      <c r="A127" s="240">
        <v>1</v>
      </c>
      <c r="B127" s="303" t="s">
        <v>245</v>
      </c>
      <c r="C127" s="299" t="s">
        <v>118</v>
      </c>
      <c r="D127" s="298"/>
      <c r="E127" s="358">
        <v>1</v>
      </c>
      <c r="F127" s="248">
        <v>8071</v>
      </c>
      <c r="G127" s="359">
        <v>16</v>
      </c>
      <c r="H127" s="360">
        <f>F127*E127</f>
        <v>8071</v>
      </c>
      <c r="I127" s="360">
        <f>H127*10%</f>
        <v>807.1</v>
      </c>
      <c r="J127" s="248">
        <f>(H127+I127+M127+N127)*30%</f>
        <v>2905.56</v>
      </c>
      <c r="K127" s="248">
        <f>(H127+I127+M127+N127)*20%</f>
        <v>1937.0400000000002</v>
      </c>
      <c r="L127" s="248"/>
      <c r="M127" s="248">
        <f>F127*10%</f>
        <v>807.1</v>
      </c>
      <c r="N127" s="248"/>
      <c r="O127" s="248"/>
      <c r="P127" s="248"/>
      <c r="Q127" s="248"/>
      <c r="R127" s="248"/>
      <c r="S127" s="248"/>
      <c r="T127" s="248"/>
      <c r="U127" s="248"/>
      <c r="V127" s="361"/>
      <c r="W127" s="248">
        <f>H127+I127+J127+K127+L127+M127+N127+O127+P127+Q127+R127+S127+T127+U127+V127+0.01</f>
        <v>14527.810000000001</v>
      </c>
    </row>
    <row r="128" spans="1:23" ht="13.5">
      <c r="A128" s="991">
        <v>2</v>
      </c>
      <c r="B128" s="992" t="s">
        <v>246</v>
      </c>
      <c r="C128" s="994" t="s">
        <v>118</v>
      </c>
      <c r="D128" s="363"/>
      <c r="E128" s="996">
        <v>2.5</v>
      </c>
      <c r="F128" s="998">
        <f>F127*95%</f>
        <v>7667.45</v>
      </c>
      <c r="G128" s="1000" t="s">
        <v>199</v>
      </c>
      <c r="H128" s="360"/>
      <c r="I128" s="360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361"/>
      <c r="W128" s="248"/>
    </row>
    <row r="129" spans="1:23" ht="24" customHeight="1">
      <c r="A129" s="991"/>
      <c r="B129" s="993"/>
      <c r="C129" s="995"/>
      <c r="D129" s="363"/>
      <c r="E129" s="997"/>
      <c r="F129" s="999"/>
      <c r="G129" s="1000"/>
      <c r="H129" s="360">
        <f>F128*E128</f>
        <v>19168.625</v>
      </c>
      <c r="I129" s="360">
        <f aca="true" t="shared" si="11" ref="I129:I135">H129*10%</f>
        <v>1916.8625000000002</v>
      </c>
      <c r="J129" s="248">
        <v>5625.58</v>
      </c>
      <c r="K129" s="248">
        <v>3737.89</v>
      </c>
      <c r="L129" s="248"/>
      <c r="M129" s="248">
        <v>776.75</v>
      </c>
      <c r="N129" s="248"/>
      <c r="O129" s="248"/>
      <c r="P129" s="248"/>
      <c r="Q129" s="248"/>
      <c r="R129" s="248"/>
      <c r="S129" s="248"/>
      <c r="T129" s="248"/>
      <c r="U129" s="248"/>
      <c r="V129" s="361"/>
      <c r="W129" s="248">
        <f>H129+I129+J129+K129+L129+M129+N129+O129+P129+Q129+R129+S129+T129+U129+V129</f>
        <v>31225.707499999997</v>
      </c>
    </row>
    <row r="130" spans="1:23" ht="12.75" customHeight="1" hidden="1">
      <c r="A130" s="240"/>
      <c r="B130" s="367"/>
      <c r="C130" s="368"/>
      <c r="D130" s="367"/>
      <c r="E130" s="369"/>
      <c r="F130" s="248"/>
      <c r="G130" s="370"/>
      <c r="H130" s="371">
        <f aca="true" t="shared" si="12" ref="H130:H153">F130*E130</f>
        <v>0</v>
      </c>
      <c r="I130" s="371">
        <f t="shared" si="11"/>
        <v>0</v>
      </c>
      <c r="J130" s="372"/>
      <c r="K130" s="372">
        <f>(F130*E130+M130)*20%</f>
        <v>0</v>
      </c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3"/>
      <c r="W130" s="248">
        <f aca="true" t="shared" si="13" ref="W130:W153">H130+I130+J130+K130+L130+M130+N130+O130+P130+Q130+R130+S130+T130+U130+V130</f>
        <v>0</v>
      </c>
    </row>
    <row r="131" spans="1:23" ht="20.25" customHeight="1">
      <c r="A131" s="240">
        <v>3</v>
      </c>
      <c r="B131" s="303" t="s">
        <v>202</v>
      </c>
      <c r="C131" s="302">
        <v>2340</v>
      </c>
      <c r="D131" s="303"/>
      <c r="E131" s="369">
        <v>0.5</v>
      </c>
      <c r="F131" s="248">
        <v>5699</v>
      </c>
      <c r="G131" s="359">
        <v>11</v>
      </c>
      <c r="H131" s="360">
        <f t="shared" si="12"/>
        <v>2849.5</v>
      </c>
      <c r="I131" s="360">
        <f t="shared" si="11"/>
        <v>284.95</v>
      </c>
      <c r="J131" s="248">
        <f>(H131+I131)*10%</f>
        <v>313.445</v>
      </c>
      <c r="K131" s="248">
        <f>(H131+I131)*15%</f>
        <v>470.16749999999996</v>
      </c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361"/>
      <c r="W131" s="248">
        <f>H131+I131+J131+K131+L131+M131+N131+O131+P131+Q131+R131+S131+T131+U131+V131</f>
        <v>3918.0625</v>
      </c>
    </row>
    <row r="132" spans="1:23" ht="21.75" customHeight="1">
      <c r="A132" s="240">
        <v>4</v>
      </c>
      <c r="B132" s="267" t="s">
        <v>201</v>
      </c>
      <c r="C132" s="221" t="s">
        <v>121</v>
      </c>
      <c r="D132" s="267"/>
      <c r="E132" s="369">
        <v>0.5</v>
      </c>
      <c r="F132" s="248">
        <v>6133</v>
      </c>
      <c r="G132" s="359">
        <v>12</v>
      </c>
      <c r="H132" s="360">
        <f t="shared" si="12"/>
        <v>3066.5</v>
      </c>
      <c r="I132" s="360">
        <f t="shared" si="11"/>
        <v>306.65000000000003</v>
      </c>
      <c r="J132" s="248">
        <f>(H132+I132)*30%</f>
        <v>1011.9449999999999</v>
      </c>
      <c r="K132" s="248">
        <f>(H132+I132)*15%</f>
        <v>505.97249999999997</v>
      </c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361"/>
      <c r="W132" s="248">
        <f t="shared" si="13"/>
        <v>4891.0675</v>
      </c>
    </row>
    <row r="133" spans="1:23" ht="18" customHeight="1">
      <c r="A133" s="240">
        <v>5</v>
      </c>
      <c r="B133" s="303" t="s">
        <v>204</v>
      </c>
      <c r="C133" s="302" t="s">
        <v>205</v>
      </c>
      <c r="D133" s="303"/>
      <c r="E133" s="369">
        <v>1</v>
      </c>
      <c r="F133" s="248">
        <v>5699</v>
      </c>
      <c r="G133" s="359">
        <v>11</v>
      </c>
      <c r="H133" s="360">
        <f t="shared" si="12"/>
        <v>5699</v>
      </c>
      <c r="I133" s="360">
        <f t="shared" si="11"/>
        <v>569.9</v>
      </c>
      <c r="J133" s="248">
        <f>(H133+I133)*10%</f>
        <v>626.89</v>
      </c>
      <c r="K133" s="248">
        <f>(H133+I133)*15%</f>
        <v>940.3349999999999</v>
      </c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361"/>
      <c r="W133" s="248">
        <f t="shared" si="13"/>
        <v>7836.125</v>
      </c>
    </row>
    <row r="134" spans="1:23" ht="18" customHeight="1" hidden="1">
      <c r="A134" s="254">
        <v>5</v>
      </c>
      <c r="B134" s="374" t="s">
        <v>247</v>
      </c>
      <c r="C134" s="311"/>
      <c r="D134" s="374"/>
      <c r="E134" s="369"/>
      <c r="F134" s="316"/>
      <c r="G134" s="375"/>
      <c r="H134" s="376"/>
      <c r="I134" s="37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77"/>
      <c r="W134" s="316">
        <f>H134+I134+J134+K134+L134+M134+N134+O134+P134+Q134+R134+S134+T134+U134+V134</f>
        <v>0</v>
      </c>
    </row>
    <row r="135" spans="1:23" ht="18" customHeight="1">
      <c r="A135" s="240">
        <v>6</v>
      </c>
      <c r="B135" s="303" t="s">
        <v>206</v>
      </c>
      <c r="C135" s="302">
        <v>3340</v>
      </c>
      <c r="D135" s="303"/>
      <c r="E135" s="248">
        <v>1</v>
      </c>
      <c r="F135" s="248">
        <v>5699</v>
      </c>
      <c r="G135" s="359">
        <v>11</v>
      </c>
      <c r="H135" s="360">
        <f t="shared" si="12"/>
        <v>5699</v>
      </c>
      <c r="I135" s="360">
        <f t="shared" si="11"/>
        <v>569.9</v>
      </c>
      <c r="J135" s="248">
        <f>(H135+I135)*10%</f>
        <v>626.89</v>
      </c>
      <c r="K135" s="248">
        <f>(H135+I135)*15%</f>
        <v>940.3349999999999</v>
      </c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361"/>
      <c r="W135" s="248">
        <f t="shared" si="13"/>
        <v>7836.125</v>
      </c>
    </row>
    <row r="136" spans="1:23" ht="19.5" customHeight="1" hidden="1">
      <c r="A136" s="254">
        <v>7</v>
      </c>
      <c r="B136" s="374" t="s">
        <v>247</v>
      </c>
      <c r="C136" s="311"/>
      <c r="D136" s="374"/>
      <c r="E136" s="316"/>
      <c r="F136" s="316"/>
      <c r="G136" s="378"/>
      <c r="H136" s="376"/>
      <c r="I136" s="37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77"/>
      <c r="W136" s="316">
        <f t="shared" si="13"/>
        <v>0</v>
      </c>
    </row>
    <row r="137" spans="1:23" ht="20.25" customHeight="1" thickBot="1">
      <c r="A137" s="268">
        <v>7</v>
      </c>
      <c r="B137" s="354" t="s">
        <v>208</v>
      </c>
      <c r="C137" s="321">
        <v>2320</v>
      </c>
      <c r="D137" s="379"/>
      <c r="E137" s="297">
        <v>24.14</v>
      </c>
      <c r="F137" s="380"/>
      <c r="G137" s="381"/>
      <c r="H137" s="382">
        <v>172242.6</v>
      </c>
      <c r="I137" s="382">
        <v>17224.26</v>
      </c>
      <c r="J137" s="297">
        <v>42989.6</v>
      </c>
      <c r="K137" s="297">
        <v>29399.64</v>
      </c>
      <c r="L137" s="380"/>
      <c r="M137" s="380"/>
      <c r="N137" s="380"/>
      <c r="O137" s="297">
        <f>13825.37+560.08</f>
        <v>14385.45</v>
      </c>
      <c r="P137" s="297">
        <v>20050.05</v>
      </c>
      <c r="Q137" s="297">
        <f>770.11</f>
        <v>770.11</v>
      </c>
      <c r="R137" s="380"/>
      <c r="S137" s="380"/>
      <c r="T137" s="380"/>
      <c r="U137" s="380"/>
      <c r="V137" s="383"/>
      <c r="W137" s="297">
        <f>H137+I137+J137+K137+L137+M137+N137+O137+P137+Q137+R137+S137+T137+U137+V137</f>
        <v>297061.71</v>
      </c>
    </row>
    <row r="138" spans="1:23" ht="20.25" customHeight="1" thickBot="1">
      <c r="A138" s="279"/>
      <c r="B138" s="280" t="s">
        <v>248</v>
      </c>
      <c r="C138" s="281"/>
      <c r="D138" s="384"/>
      <c r="E138" s="385">
        <f>E127+E128+E131+E132+E133+E135+E137</f>
        <v>30.64</v>
      </c>
      <c r="F138" s="386"/>
      <c r="G138" s="386"/>
      <c r="H138" s="385">
        <f aca="true" t="shared" si="14" ref="H138:V138">H127+H129+H132+H133+H136+H137+H134+H135+H131</f>
        <v>216796.225</v>
      </c>
      <c r="I138" s="385">
        <f t="shared" si="14"/>
        <v>21679.6225</v>
      </c>
      <c r="J138" s="385">
        <f t="shared" si="14"/>
        <v>54099.909999999996</v>
      </c>
      <c r="K138" s="385">
        <f t="shared" si="14"/>
        <v>37931.380000000005</v>
      </c>
      <c r="L138" s="385">
        <f t="shared" si="14"/>
        <v>0</v>
      </c>
      <c r="M138" s="385">
        <f t="shared" si="14"/>
        <v>1583.85</v>
      </c>
      <c r="N138" s="385">
        <f t="shared" si="14"/>
        <v>0</v>
      </c>
      <c r="O138" s="385">
        <f t="shared" si="14"/>
        <v>14385.45</v>
      </c>
      <c r="P138" s="385">
        <f t="shared" si="14"/>
        <v>20050.05</v>
      </c>
      <c r="Q138" s="385">
        <f t="shared" si="14"/>
        <v>770.11</v>
      </c>
      <c r="R138" s="385">
        <f t="shared" si="14"/>
        <v>0</v>
      </c>
      <c r="S138" s="385">
        <f t="shared" si="14"/>
        <v>0</v>
      </c>
      <c r="T138" s="385">
        <f t="shared" si="14"/>
        <v>0</v>
      </c>
      <c r="U138" s="385">
        <f t="shared" si="14"/>
        <v>0</v>
      </c>
      <c r="V138" s="385">
        <f t="shared" si="14"/>
        <v>0</v>
      </c>
      <c r="W138" s="385">
        <f>W127+W129+W132+W133+W136+W137+W134+W135+W131</f>
        <v>367296.60750000004</v>
      </c>
    </row>
    <row r="139" spans="1:23" ht="18" customHeight="1">
      <c r="A139" s="228">
        <v>8</v>
      </c>
      <c r="B139" s="298" t="s">
        <v>249</v>
      </c>
      <c r="C139" s="299" t="s">
        <v>211</v>
      </c>
      <c r="D139" s="298"/>
      <c r="E139" s="358">
        <v>1</v>
      </c>
      <c r="F139" s="387">
        <v>5005</v>
      </c>
      <c r="G139" s="286">
        <v>9</v>
      </c>
      <c r="H139" s="250">
        <f t="shared" si="12"/>
        <v>5005</v>
      </c>
      <c r="I139" s="250"/>
      <c r="J139" s="237">
        <v>250.25</v>
      </c>
      <c r="K139" s="237"/>
      <c r="L139" s="237">
        <v>500.5</v>
      </c>
      <c r="M139" s="237"/>
      <c r="N139" s="237"/>
      <c r="O139" s="237"/>
      <c r="P139" s="237"/>
      <c r="Q139" s="237"/>
      <c r="R139" s="237"/>
      <c r="S139" s="237"/>
      <c r="T139" s="237"/>
      <c r="U139" s="237"/>
      <c r="V139" s="388">
        <v>944.25</v>
      </c>
      <c r="W139" s="237">
        <f>H139+I139+J139+K139+L139+M139+N139+O139+P139+Q139+R139+S139+T139+U139+V139</f>
        <v>6700</v>
      </c>
    </row>
    <row r="140" spans="1:23" ht="18.75" customHeight="1">
      <c r="A140" s="240">
        <v>9</v>
      </c>
      <c r="B140" s="303" t="s">
        <v>212</v>
      </c>
      <c r="C140" s="302">
        <v>3231</v>
      </c>
      <c r="D140" s="303"/>
      <c r="E140" s="369">
        <v>1</v>
      </c>
      <c r="F140" s="389">
        <v>4195</v>
      </c>
      <c r="G140" s="359">
        <v>6</v>
      </c>
      <c r="H140" s="360">
        <f t="shared" si="12"/>
        <v>4195</v>
      </c>
      <c r="I140" s="360"/>
      <c r="J140" s="248">
        <v>419.5</v>
      </c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361">
        <f>6700*E140-H140-I140-J140-K140-L140-M140-N140-O140-P140-Q140-U140</f>
        <v>2085.5</v>
      </c>
      <c r="W140" s="248">
        <f t="shared" si="13"/>
        <v>6700</v>
      </c>
    </row>
    <row r="141" spans="1:23" ht="18" customHeight="1" hidden="1">
      <c r="A141" s="240">
        <v>8</v>
      </c>
      <c r="B141" s="367" t="s">
        <v>213</v>
      </c>
      <c r="C141" s="368"/>
      <c r="D141" s="367"/>
      <c r="E141" s="369"/>
      <c r="F141" s="389"/>
      <c r="G141" s="390">
        <v>9</v>
      </c>
      <c r="H141" s="371">
        <f t="shared" si="12"/>
        <v>0</v>
      </c>
      <c r="I141" s="371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61">
        <f aca="true" t="shared" si="15" ref="V141:V153">6700*E141-H141-I141-J141-K141-L141-M141-N141-O141-P141-Q141-U141</f>
        <v>0</v>
      </c>
      <c r="W141" s="248">
        <f t="shared" si="13"/>
        <v>0</v>
      </c>
    </row>
    <row r="142" spans="1:23" ht="30" customHeight="1">
      <c r="A142" s="240">
        <v>10</v>
      </c>
      <c r="B142" s="300" t="s">
        <v>122</v>
      </c>
      <c r="C142" s="301">
        <v>1239</v>
      </c>
      <c r="D142" s="300"/>
      <c r="E142" s="369">
        <v>1</v>
      </c>
      <c r="F142" s="389">
        <v>4745</v>
      </c>
      <c r="G142" s="359">
        <v>8</v>
      </c>
      <c r="H142" s="360">
        <f t="shared" si="12"/>
        <v>4745</v>
      </c>
      <c r="I142" s="360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>
        <f>H142*50%</f>
        <v>2372.5</v>
      </c>
      <c r="V142" s="361"/>
      <c r="W142" s="248">
        <f t="shared" si="13"/>
        <v>7117.5</v>
      </c>
    </row>
    <row r="143" spans="1:23" ht="33.75" customHeight="1">
      <c r="A143" s="240">
        <v>11</v>
      </c>
      <c r="B143" s="288" t="s">
        <v>216</v>
      </c>
      <c r="C143" s="242">
        <v>4115</v>
      </c>
      <c r="D143" s="300"/>
      <c r="E143" s="369">
        <v>1</v>
      </c>
      <c r="F143" s="389">
        <v>3934</v>
      </c>
      <c r="G143" s="359">
        <v>5</v>
      </c>
      <c r="H143" s="360">
        <f t="shared" si="12"/>
        <v>3934</v>
      </c>
      <c r="I143" s="360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361">
        <f t="shared" si="15"/>
        <v>2766</v>
      </c>
      <c r="W143" s="248">
        <f t="shared" si="13"/>
        <v>6700</v>
      </c>
    </row>
    <row r="144" spans="1:23" ht="16.5" customHeight="1" hidden="1">
      <c r="A144" s="240">
        <v>10</v>
      </c>
      <c r="B144" s="300" t="s">
        <v>217</v>
      </c>
      <c r="C144" s="301"/>
      <c r="D144" s="300"/>
      <c r="E144" s="248"/>
      <c r="F144" s="389"/>
      <c r="G144" s="359">
        <v>4</v>
      </c>
      <c r="H144" s="360">
        <f t="shared" si="12"/>
        <v>0</v>
      </c>
      <c r="I144" s="360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361">
        <f t="shared" si="15"/>
        <v>0</v>
      </c>
      <c r="W144" s="248">
        <f t="shared" si="13"/>
        <v>0</v>
      </c>
    </row>
    <row r="145" spans="1:23" ht="55.5" customHeight="1">
      <c r="A145" s="240">
        <v>12</v>
      </c>
      <c r="B145" s="241" t="s">
        <v>218</v>
      </c>
      <c r="C145" s="242">
        <v>7129</v>
      </c>
      <c r="D145" s="300"/>
      <c r="E145" s="391">
        <v>1</v>
      </c>
      <c r="F145" s="392">
        <v>3674</v>
      </c>
      <c r="G145" s="359">
        <v>4</v>
      </c>
      <c r="H145" s="360">
        <f t="shared" si="12"/>
        <v>3674</v>
      </c>
      <c r="I145" s="360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361">
        <f t="shared" si="15"/>
        <v>3026</v>
      </c>
      <c r="W145" s="248">
        <f t="shared" si="13"/>
        <v>6700</v>
      </c>
    </row>
    <row r="146" spans="1:23" ht="18" customHeight="1">
      <c r="A146" s="240">
        <v>13</v>
      </c>
      <c r="B146" s="300" t="s">
        <v>9</v>
      </c>
      <c r="C146" s="301">
        <v>9162</v>
      </c>
      <c r="D146" s="300"/>
      <c r="E146" s="369">
        <v>1</v>
      </c>
      <c r="F146" s="389">
        <v>2893</v>
      </c>
      <c r="G146" s="359">
        <v>1</v>
      </c>
      <c r="H146" s="360">
        <f t="shared" si="12"/>
        <v>2893</v>
      </c>
      <c r="I146" s="360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361">
        <f t="shared" si="15"/>
        <v>3807</v>
      </c>
      <c r="W146" s="248">
        <f t="shared" si="13"/>
        <v>6700</v>
      </c>
    </row>
    <row r="147" spans="1:23" ht="17.25" customHeight="1">
      <c r="A147" s="240">
        <v>14</v>
      </c>
      <c r="B147" s="300" t="s">
        <v>10</v>
      </c>
      <c r="C147" s="301">
        <v>9152</v>
      </c>
      <c r="D147" s="300"/>
      <c r="E147" s="248">
        <v>2.75</v>
      </c>
      <c r="F147" s="389">
        <v>3153</v>
      </c>
      <c r="G147" s="359">
        <v>2</v>
      </c>
      <c r="H147" s="360">
        <f t="shared" si="12"/>
        <v>8670.75</v>
      </c>
      <c r="I147" s="360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90">
        <f>F147*40%*2.75</f>
        <v>3468.3</v>
      </c>
      <c r="U147" s="248"/>
      <c r="V147" s="361">
        <f t="shared" si="15"/>
        <v>9754.25</v>
      </c>
      <c r="W147" s="248">
        <f t="shared" si="13"/>
        <v>21893.3</v>
      </c>
    </row>
    <row r="148" spans="1:23" ht="33.75" customHeight="1">
      <c r="A148" s="240">
        <v>15</v>
      </c>
      <c r="B148" s="267" t="s">
        <v>250</v>
      </c>
      <c r="C148" s="221">
        <v>9132</v>
      </c>
      <c r="D148" s="267"/>
      <c r="E148" s="248">
        <v>9.5</v>
      </c>
      <c r="F148" s="389">
        <v>3153</v>
      </c>
      <c r="G148" s="359">
        <v>2</v>
      </c>
      <c r="H148" s="360">
        <f t="shared" si="12"/>
        <v>29953.5</v>
      </c>
      <c r="I148" s="360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>
        <f>F148*5*10%</f>
        <v>1576.5</v>
      </c>
      <c r="T148" s="330"/>
      <c r="U148" s="248"/>
      <c r="V148" s="361">
        <f t="shared" si="15"/>
        <v>33696.5</v>
      </c>
      <c r="W148" s="248">
        <f t="shared" si="13"/>
        <v>65226.5</v>
      </c>
    </row>
    <row r="149" spans="1:23" ht="36" customHeight="1" hidden="1">
      <c r="A149" s="240"/>
      <c r="B149" s="300"/>
      <c r="C149" s="301"/>
      <c r="D149" s="300"/>
      <c r="E149" s="369"/>
      <c r="F149" s="389"/>
      <c r="G149" s="359"/>
      <c r="H149" s="360"/>
      <c r="I149" s="360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330"/>
      <c r="U149" s="248"/>
      <c r="V149" s="361"/>
      <c r="W149" s="248"/>
    </row>
    <row r="150" spans="1:23" ht="20.25" customHeight="1">
      <c r="A150" s="240">
        <v>16</v>
      </c>
      <c r="B150" s="300" t="s">
        <v>68</v>
      </c>
      <c r="C150" s="301">
        <v>3570</v>
      </c>
      <c r="D150" s="300"/>
      <c r="E150" s="369">
        <v>1</v>
      </c>
      <c r="F150" s="389">
        <v>4195</v>
      </c>
      <c r="G150" s="359">
        <v>6</v>
      </c>
      <c r="H150" s="360">
        <f t="shared" si="12"/>
        <v>4195</v>
      </c>
      <c r="I150" s="360"/>
      <c r="J150" s="248"/>
      <c r="K150" s="248"/>
      <c r="L150" s="248"/>
      <c r="M150" s="248"/>
      <c r="N150" s="248"/>
      <c r="O150" s="248"/>
      <c r="P150" s="248"/>
      <c r="Q150" s="248"/>
      <c r="R150" s="248">
        <f>F150*E150*12%</f>
        <v>503.4</v>
      </c>
      <c r="S150" s="248"/>
      <c r="T150" s="330"/>
      <c r="U150" s="290">
        <f>F150*E150*15%</f>
        <v>629.25</v>
      </c>
      <c r="V150" s="361">
        <f>6700*E150-H150-I150-J150-K150-L150-M150-N150-O150-P150-Q150-U150</f>
        <v>1875.75</v>
      </c>
      <c r="W150" s="248">
        <f t="shared" si="13"/>
        <v>7203.4</v>
      </c>
    </row>
    <row r="151" spans="1:23" ht="22.5" customHeight="1">
      <c r="A151" s="240">
        <v>17</v>
      </c>
      <c r="B151" s="300" t="s">
        <v>8</v>
      </c>
      <c r="C151" s="301">
        <v>5122</v>
      </c>
      <c r="D151" s="300"/>
      <c r="E151" s="369">
        <v>1</v>
      </c>
      <c r="F151" s="389">
        <v>3934</v>
      </c>
      <c r="G151" s="359">
        <v>5</v>
      </c>
      <c r="H151" s="360">
        <f t="shared" si="12"/>
        <v>3934</v>
      </c>
      <c r="I151" s="360"/>
      <c r="J151" s="248"/>
      <c r="K151" s="248"/>
      <c r="L151" s="248"/>
      <c r="M151" s="248"/>
      <c r="N151" s="248"/>
      <c r="O151" s="248"/>
      <c r="P151" s="248"/>
      <c r="Q151" s="248"/>
      <c r="R151" s="248">
        <f>F151*E151*12%</f>
        <v>472.08</v>
      </c>
      <c r="S151" s="248"/>
      <c r="T151" s="330"/>
      <c r="U151" s="290">
        <f>F151*E151*15%</f>
        <v>590.1</v>
      </c>
      <c r="V151" s="361">
        <f t="shared" si="15"/>
        <v>2175.9</v>
      </c>
      <c r="W151" s="248">
        <f t="shared" si="13"/>
        <v>7172.08</v>
      </c>
    </row>
    <row r="152" spans="1:23" ht="36.75" customHeight="1">
      <c r="A152" s="240">
        <v>18</v>
      </c>
      <c r="B152" s="241" t="s">
        <v>128</v>
      </c>
      <c r="C152" s="242">
        <v>9132</v>
      </c>
      <c r="D152" s="300"/>
      <c r="E152" s="369">
        <v>1</v>
      </c>
      <c r="F152" s="389">
        <v>2873</v>
      </c>
      <c r="G152" s="359">
        <v>1</v>
      </c>
      <c r="H152" s="360">
        <f t="shared" si="12"/>
        <v>2873</v>
      </c>
      <c r="I152" s="360"/>
      <c r="J152" s="248"/>
      <c r="K152" s="248"/>
      <c r="L152" s="248"/>
      <c r="M152" s="248"/>
      <c r="N152" s="248"/>
      <c r="O152" s="248"/>
      <c r="P152" s="248"/>
      <c r="Q152" s="248"/>
      <c r="R152" s="248">
        <f>F152*E152*12%</f>
        <v>344.76</v>
      </c>
      <c r="S152" s="248"/>
      <c r="T152" s="330"/>
      <c r="U152" s="290">
        <f>F152*E152*15%</f>
        <v>430.95</v>
      </c>
      <c r="V152" s="361">
        <f t="shared" si="15"/>
        <v>3396.05</v>
      </c>
      <c r="W152" s="248">
        <f t="shared" si="13"/>
        <v>7044.76</v>
      </c>
    </row>
    <row r="153" spans="1:23" ht="21.75" customHeight="1">
      <c r="A153" s="240">
        <v>19</v>
      </c>
      <c r="B153" s="300" t="s">
        <v>12</v>
      </c>
      <c r="C153" s="301">
        <v>4131</v>
      </c>
      <c r="D153" s="300"/>
      <c r="E153" s="369">
        <v>1</v>
      </c>
      <c r="F153" s="389">
        <v>3153</v>
      </c>
      <c r="G153" s="359">
        <v>2</v>
      </c>
      <c r="H153" s="360">
        <f t="shared" si="12"/>
        <v>3153</v>
      </c>
      <c r="I153" s="360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330"/>
      <c r="U153" s="248"/>
      <c r="V153" s="361">
        <f t="shared" si="15"/>
        <v>3547</v>
      </c>
      <c r="W153" s="248">
        <f t="shared" si="13"/>
        <v>6700</v>
      </c>
    </row>
    <row r="154" spans="1:23" ht="3" customHeight="1">
      <c r="A154" s="393"/>
      <c r="B154" s="266"/>
      <c r="C154" s="394"/>
      <c r="D154" s="266"/>
      <c r="E154" s="316"/>
      <c r="F154" s="316"/>
      <c r="G154" s="376"/>
      <c r="H154" s="376"/>
      <c r="I154" s="37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95"/>
      <c r="U154" s="316"/>
      <c r="V154" s="377"/>
      <c r="W154" s="316"/>
    </row>
    <row r="155" spans="1:23" ht="13.5">
      <c r="A155" s="393"/>
      <c r="B155" s="303" t="s">
        <v>6</v>
      </c>
      <c r="C155" s="302"/>
      <c r="D155" s="303"/>
      <c r="E155" s="248">
        <f>E138+E139+E140+E142+E143+E145+E146+E147+E148+E149+E151+E152+E153+E150</f>
        <v>52.89</v>
      </c>
      <c r="F155" s="248"/>
      <c r="G155" s="248"/>
      <c r="H155" s="248">
        <f aca="true" t="shared" si="16" ref="H155:W155">H138+H139+H140+H142+H143+H145+H146+H147+H148+H149+H151+H152+H153+H150</f>
        <v>294021.475</v>
      </c>
      <c r="I155" s="248">
        <f t="shared" si="16"/>
        <v>21679.6225</v>
      </c>
      <c r="J155" s="248">
        <f t="shared" si="16"/>
        <v>54769.659999999996</v>
      </c>
      <c r="K155" s="248">
        <f t="shared" si="16"/>
        <v>37931.380000000005</v>
      </c>
      <c r="L155" s="248">
        <f t="shared" si="16"/>
        <v>500.5</v>
      </c>
      <c r="M155" s="248">
        <f t="shared" si="16"/>
        <v>1583.85</v>
      </c>
      <c r="N155" s="248">
        <f t="shared" si="16"/>
        <v>0</v>
      </c>
      <c r="O155" s="248">
        <f t="shared" si="16"/>
        <v>14385.45</v>
      </c>
      <c r="P155" s="248">
        <f t="shared" si="16"/>
        <v>20050.05</v>
      </c>
      <c r="Q155" s="248">
        <f t="shared" si="16"/>
        <v>770.11</v>
      </c>
      <c r="R155" s="248">
        <f t="shared" si="16"/>
        <v>1320.2399999999998</v>
      </c>
      <c r="S155" s="248">
        <f t="shared" si="16"/>
        <v>1576.5</v>
      </c>
      <c r="T155" s="248">
        <f t="shared" si="16"/>
        <v>3468.3</v>
      </c>
      <c r="U155" s="248">
        <f t="shared" si="16"/>
        <v>4022.7999999999997</v>
      </c>
      <c r="V155" s="248">
        <f t="shared" si="16"/>
        <v>67074.20000000001</v>
      </c>
      <c r="W155" s="248">
        <f t="shared" si="16"/>
        <v>523154.1475000001</v>
      </c>
    </row>
    <row r="156" spans="1:23" ht="8.25" customHeight="1">
      <c r="A156" s="197"/>
      <c r="B156" s="204"/>
      <c r="C156" s="217"/>
      <c r="D156" s="204"/>
      <c r="E156" s="204"/>
      <c r="F156" s="204"/>
      <c r="G156" s="218"/>
      <c r="H156" s="218"/>
      <c r="I156" s="218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</row>
    <row r="157" spans="1:23" ht="32.25" customHeight="1">
      <c r="A157" s="197"/>
      <c r="B157" s="396"/>
      <c r="C157" s="397"/>
      <c r="D157" s="396"/>
      <c r="E157" s="398"/>
      <c r="F157" s="399"/>
      <c r="G157" s="400"/>
      <c r="H157" s="400"/>
      <c r="I157" s="400"/>
      <c r="J157" s="399"/>
      <c r="K157" s="399"/>
      <c r="L157" s="399"/>
      <c r="M157" s="399"/>
      <c r="N157" s="399"/>
      <c r="O157" s="399"/>
      <c r="P157" s="399"/>
      <c r="Q157" s="399"/>
      <c r="R157" s="399"/>
      <c r="S157" s="399"/>
      <c r="T157" s="399"/>
      <c r="U157" s="399"/>
      <c r="V157" s="401"/>
      <c r="W157" s="401"/>
    </row>
    <row r="158" spans="1:23" ht="18" customHeight="1">
      <c r="A158" s="197"/>
      <c r="B158" s="341"/>
      <c r="C158" s="342"/>
      <c r="D158" s="341"/>
      <c r="E158" s="343"/>
      <c r="F158" s="214" t="s">
        <v>169</v>
      </c>
      <c r="G158" s="344"/>
      <c r="H158" s="344"/>
      <c r="I158" s="344"/>
      <c r="J158" s="345"/>
      <c r="K158" s="346"/>
      <c r="L158" s="346"/>
      <c r="M158" s="346"/>
      <c r="N158" s="346"/>
      <c r="O158" s="346"/>
      <c r="P158" s="346"/>
      <c r="Q158" s="346"/>
      <c r="R158" s="346" t="s">
        <v>170</v>
      </c>
      <c r="S158" s="346"/>
      <c r="T158" s="340"/>
      <c r="U158" s="340"/>
      <c r="V158" s="340"/>
      <c r="W158" s="340"/>
    </row>
    <row r="160" spans="1:23" ht="18" customHeight="1">
      <c r="A160" s="197"/>
      <c r="B160" s="341"/>
      <c r="C160" s="342"/>
      <c r="D160" s="341"/>
      <c r="E160" s="343"/>
      <c r="F160" s="214" t="s">
        <v>234</v>
      </c>
      <c r="G160" s="344"/>
      <c r="H160" s="344"/>
      <c r="I160" s="344"/>
      <c r="J160" s="345"/>
      <c r="K160" s="346"/>
      <c r="L160" s="346"/>
      <c r="M160" s="346"/>
      <c r="N160" s="346"/>
      <c r="O160" s="346"/>
      <c r="P160" s="346"/>
      <c r="Q160" s="346"/>
      <c r="R160" s="346" t="s">
        <v>167</v>
      </c>
      <c r="S160" s="346"/>
      <c r="T160" s="340"/>
      <c r="U160" s="340"/>
      <c r="V160" s="340"/>
      <c r="W160" s="340"/>
    </row>
    <row r="162" spans="1:23" ht="17.25">
      <c r="A162" s="197"/>
      <c r="B162" s="402"/>
      <c r="C162" s="403"/>
      <c r="D162" s="402"/>
      <c r="E162" s="198"/>
      <c r="F162" s="198"/>
      <c r="G162" s="200"/>
      <c r="H162" s="200"/>
      <c r="I162" s="200"/>
      <c r="J162" s="198"/>
      <c r="K162" s="198"/>
      <c r="L162" s="198"/>
      <c r="M162" s="198"/>
      <c r="N162" s="402"/>
      <c r="O162" s="402"/>
      <c r="P162" s="402"/>
      <c r="Q162" s="402"/>
      <c r="R162" s="202" t="s">
        <v>251</v>
      </c>
      <c r="T162" s="204"/>
      <c r="U162" s="204"/>
      <c r="V162" s="204"/>
      <c r="W162" s="204"/>
    </row>
    <row r="163" spans="1:23" ht="17.25" hidden="1">
      <c r="A163" s="197"/>
      <c r="B163" s="402"/>
      <c r="C163" s="403"/>
      <c r="D163" s="402"/>
      <c r="E163" s="198"/>
      <c r="F163" s="198"/>
      <c r="G163" s="200"/>
      <c r="H163" s="200"/>
      <c r="I163" s="200"/>
      <c r="J163" s="198"/>
      <c r="K163" s="198"/>
      <c r="L163" s="198"/>
      <c r="M163" s="198"/>
      <c r="N163" s="402"/>
      <c r="O163" s="402"/>
      <c r="P163" s="402"/>
      <c r="Q163" s="402"/>
      <c r="R163" s="402"/>
      <c r="S163" s="402"/>
      <c r="T163" s="928"/>
      <c r="U163" s="928"/>
      <c r="V163" s="928"/>
      <c r="W163" s="205"/>
    </row>
    <row r="164" spans="1:23" ht="20.25" customHeight="1">
      <c r="A164" s="197"/>
      <c r="B164" s="198"/>
      <c r="C164" s="199"/>
      <c r="D164" s="198"/>
      <c r="E164" s="198"/>
      <c r="F164" s="198"/>
      <c r="G164" s="200"/>
      <c r="H164" s="200"/>
      <c r="I164" s="200"/>
      <c r="J164" s="198"/>
      <c r="K164" s="201"/>
      <c r="L164" s="198"/>
      <c r="M164" s="198"/>
      <c r="N164" s="198"/>
      <c r="O164" s="198"/>
      <c r="P164" s="198"/>
      <c r="Q164" s="198"/>
      <c r="R164" s="929" t="s">
        <v>172</v>
      </c>
      <c r="S164" s="929"/>
      <c r="T164" s="929"/>
      <c r="U164" s="929"/>
      <c r="V164" s="929"/>
      <c r="W164" s="207"/>
    </row>
    <row r="165" spans="1:23" ht="39.75" customHeight="1">
      <c r="A165" s="197"/>
      <c r="B165" s="198"/>
      <c r="C165" s="199"/>
      <c r="D165" s="198"/>
      <c r="E165" s="198"/>
      <c r="F165" s="198"/>
      <c r="G165" s="200"/>
      <c r="H165" s="200"/>
      <c r="I165" s="200"/>
      <c r="J165" s="198"/>
      <c r="K165" s="201"/>
      <c r="L165" s="198"/>
      <c r="M165" s="198"/>
      <c r="N165" s="198"/>
      <c r="O165" s="198"/>
      <c r="P165" s="198"/>
      <c r="Q165" s="198"/>
      <c r="R165" s="930" t="s">
        <v>173</v>
      </c>
      <c r="S165" s="930"/>
      <c r="T165" s="930"/>
      <c r="U165" s="930"/>
      <c r="V165" s="930"/>
      <c r="W165" s="208"/>
    </row>
    <row r="166" spans="1:23" ht="26.25" customHeight="1">
      <c r="A166" s="197"/>
      <c r="B166" s="198"/>
      <c r="C166" s="199"/>
      <c r="D166" s="198"/>
      <c r="E166" s="198"/>
      <c r="F166" s="198"/>
      <c r="G166" s="200"/>
      <c r="H166" s="200"/>
      <c r="I166" s="200"/>
      <c r="J166" s="198"/>
      <c r="K166" s="198"/>
      <c r="L166" s="198"/>
      <c r="M166" s="204"/>
      <c r="N166" s="204"/>
      <c r="O166" s="204"/>
      <c r="P166" s="204"/>
      <c r="Q166" s="204"/>
      <c r="R166" s="931" t="s">
        <v>174</v>
      </c>
      <c r="S166" s="931"/>
      <c r="T166" s="931"/>
      <c r="U166" s="931"/>
      <c r="V166" s="931"/>
      <c r="W166" s="210"/>
    </row>
    <row r="167" spans="1:23" ht="36" customHeight="1">
      <c r="A167" s="197"/>
      <c r="B167" s="198"/>
      <c r="C167" s="199"/>
      <c r="D167" s="198"/>
      <c r="E167" s="198"/>
      <c r="F167" s="198"/>
      <c r="G167" s="200"/>
      <c r="H167" s="200"/>
      <c r="I167" s="200"/>
      <c r="J167" s="198"/>
      <c r="K167" s="198"/>
      <c r="L167" s="198"/>
      <c r="M167" s="198"/>
      <c r="N167" s="198"/>
      <c r="O167" s="198"/>
      <c r="P167" s="198"/>
      <c r="Q167" s="198"/>
      <c r="R167" s="929" t="s">
        <v>252</v>
      </c>
      <c r="S167" s="929"/>
      <c r="T167" s="929"/>
      <c r="U167" s="929"/>
      <c r="V167" s="929"/>
      <c r="W167" s="929"/>
    </row>
    <row r="168" spans="1:23" ht="17.25">
      <c r="A168" s="197"/>
      <c r="B168" s="402"/>
      <c r="C168" s="403"/>
      <c r="D168" s="402"/>
      <c r="E168" s="198"/>
      <c r="F168" s="198"/>
      <c r="G168" s="200"/>
      <c r="H168" s="200"/>
      <c r="I168" s="200"/>
      <c r="J168" s="198"/>
      <c r="K168" s="198"/>
      <c r="L168" s="198"/>
      <c r="M168" s="198"/>
      <c r="N168" s="402"/>
      <c r="O168" s="402"/>
      <c r="P168" s="402"/>
      <c r="Q168" s="402"/>
      <c r="R168" s="402"/>
      <c r="S168" s="402"/>
      <c r="W168" s="349"/>
    </row>
    <row r="169" spans="1:23" ht="17.25">
      <c r="A169" s="197"/>
      <c r="B169" s="198"/>
      <c r="C169" s="199"/>
      <c r="D169" s="198"/>
      <c r="E169" s="198"/>
      <c r="F169" s="198"/>
      <c r="G169" s="200"/>
      <c r="H169" s="200"/>
      <c r="I169" s="200"/>
      <c r="J169" s="198"/>
      <c r="K169" s="198"/>
      <c r="L169" s="198"/>
      <c r="M169" s="198"/>
      <c r="N169" s="402"/>
      <c r="O169" s="402"/>
      <c r="P169" s="402"/>
      <c r="Q169" s="402"/>
      <c r="R169" s="402"/>
      <c r="S169" s="402"/>
      <c r="T169" s="198"/>
      <c r="U169" s="198"/>
      <c r="V169" s="198"/>
      <c r="W169" s="350"/>
    </row>
    <row r="170" spans="1:23" ht="17.25" customHeight="1" hidden="1">
      <c r="A170" s="197"/>
      <c r="B170" s="198"/>
      <c r="C170" s="199"/>
      <c r="D170" s="198"/>
      <c r="E170" s="198"/>
      <c r="F170" s="198"/>
      <c r="G170" s="200"/>
      <c r="H170" s="200"/>
      <c r="I170" s="200"/>
      <c r="J170" s="198"/>
      <c r="K170" s="198"/>
      <c r="L170" s="198"/>
      <c r="M170" s="198"/>
      <c r="N170" s="402"/>
      <c r="O170" s="402"/>
      <c r="P170" s="402"/>
      <c r="Q170" s="402"/>
      <c r="R170" s="404"/>
      <c r="S170" s="404"/>
      <c r="T170" s="405"/>
      <c r="U170" s="405"/>
      <c r="V170" s="405"/>
      <c r="W170" s="405"/>
    </row>
    <row r="171" spans="1:23" ht="13.5" hidden="1">
      <c r="A171" s="197"/>
      <c r="G171" s="203"/>
      <c r="H171" s="203"/>
      <c r="I171" s="203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</row>
    <row r="172" spans="1:23" ht="36" customHeight="1">
      <c r="A172" s="1001" t="s">
        <v>176</v>
      </c>
      <c r="B172" s="1001"/>
      <c r="C172" s="1001"/>
      <c r="D172" s="1001"/>
      <c r="E172" s="1001"/>
      <c r="F172" s="1001"/>
      <c r="G172" s="1001"/>
      <c r="H172" s="1001"/>
      <c r="I172" s="1001"/>
      <c r="J172" s="1001"/>
      <c r="K172" s="1001"/>
      <c r="L172" s="1001"/>
      <c r="M172" s="1001"/>
      <c r="N172" s="1001"/>
      <c r="O172" s="1001"/>
      <c r="P172" s="1001"/>
      <c r="Q172" s="1001"/>
      <c r="R172" s="407"/>
      <c r="S172" s="407"/>
      <c r="T172" s="407"/>
      <c r="U172" s="407"/>
      <c r="V172" s="407"/>
      <c r="W172" s="407"/>
    </row>
    <row r="173" spans="1:23" ht="22.5" customHeight="1">
      <c r="A173" s="1002" t="s">
        <v>253</v>
      </c>
      <c r="B173" s="1002"/>
      <c r="C173" s="1002"/>
      <c r="D173" s="1002"/>
      <c r="E173" s="1002"/>
      <c r="F173" s="1002"/>
      <c r="G173" s="1002"/>
      <c r="H173" s="1002"/>
      <c r="I173" s="1002"/>
      <c r="J173" s="1002"/>
      <c r="K173" s="1002"/>
      <c r="L173" s="1002"/>
      <c r="M173" s="1002"/>
      <c r="N173" s="1002"/>
      <c r="O173" s="1002"/>
      <c r="P173" s="1002"/>
      <c r="Q173" s="1002"/>
      <c r="R173" s="408"/>
      <c r="S173" s="408"/>
      <c r="T173" s="408"/>
      <c r="U173" s="408"/>
      <c r="V173" s="408"/>
      <c r="W173" s="408"/>
    </row>
    <row r="174" spans="1:23" ht="21">
      <c r="A174" s="409"/>
      <c r="B174" s="410"/>
      <c r="C174" s="411"/>
      <c r="D174" s="410"/>
      <c r="E174" s="410"/>
      <c r="F174" s="410"/>
      <c r="G174" s="410"/>
      <c r="H174" s="412" t="s">
        <v>7</v>
      </c>
      <c r="I174" s="410"/>
      <c r="J174" s="410"/>
      <c r="K174" s="410"/>
      <c r="L174" s="410"/>
      <c r="M174" s="202"/>
      <c r="N174" s="412"/>
      <c r="O174" s="412"/>
      <c r="P174" s="412"/>
      <c r="Q174" s="412"/>
      <c r="R174" s="413"/>
      <c r="S174" s="414"/>
      <c r="T174" s="413"/>
      <c r="U174" s="413"/>
      <c r="V174" s="413"/>
      <c r="W174" s="413"/>
    </row>
    <row r="175" spans="1:23" ht="15" customHeight="1">
      <c r="A175" s="197"/>
      <c r="B175" s="415"/>
      <c r="C175" s="416"/>
      <c r="D175" s="415"/>
      <c r="E175" s="415"/>
      <c r="F175" s="415"/>
      <c r="G175" s="415"/>
      <c r="H175" s="415"/>
      <c r="I175" s="415"/>
      <c r="J175" s="415"/>
      <c r="K175" s="415"/>
      <c r="L175" s="415"/>
      <c r="M175" s="413"/>
      <c r="N175" s="413"/>
      <c r="O175" s="413"/>
      <c r="P175" s="413"/>
      <c r="Q175" s="413"/>
      <c r="R175" s="413"/>
      <c r="S175" s="414"/>
      <c r="T175" s="413"/>
      <c r="U175" s="413"/>
      <c r="V175" s="413"/>
      <c r="W175" s="413"/>
    </row>
    <row r="176" spans="1:23" ht="20.25">
      <c r="A176" s="197"/>
      <c r="B176" s="412" t="s">
        <v>254</v>
      </c>
      <c r="C176" s="417"/>
      <c r="D176" s="412"/>
      <c r="E176" s="413"/>
      <c r="F176" s="413"/>
      <c r="G176" s="413"/>
      <c r="H176" s="413"/>
      <c r="I176" s="413"/>
      <c r="J176" s="413"/>
      <c r="K176" s="413"/>
      <c r="L176" s="413"/>
      <c r="M176" s="413"/>
      <c r="N176" s="413"/>
      <c r="O176" s="413"/>
      <c r="P176" s="413"/>
      <c r="Q176" s="413"/>
      <c r="R176" s="413"/>
      <c r="S176" s="413"/>
      <c r="T176" s="413"/>
      <c r="U176" s="413"/>
      <c r="V176" s="413"/>
      <c r="W176" s="413"/>
    </row>
    <row r="177" spans="1:23" ht="20.25" hidden="1">
      <c r="A177" s="197"/>
      <c r="B177" s="413"/>
      <c r="C177" s="201"/>
      <c r="D177" s="413"/>
      <c r="E177" s="413"/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3"/>
      <c r="U177" s="413"/>
      <c r="V177" s="413"/>
      <c r="W177" s="413"/>
    </row>
    <row r="178" spans="1:23" ht="20.25" hidden="1">
      <c r="A178" s="197"/>
      <c r="B178" s="418"/>
      <c r="C178" s="201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</row>
    <row r="179" spans="1:23" ht="20.25" hidden="1">
      <c r="A179" s="197"/>
      <c r="B179" s="418"/>
      <c r="C179" s="201"/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</row>
    <row r="180" spans="1:23" ht="13.5" hidden="1">
      <c r="A180" s="197"/>
      <c r="B180" s="419"/>
      <c r="C180" s="217"/>
      <c r="D180" s="419"/>
      <c r="E180" s="419"/>
      <c r="F180" s="419"/>
      <c r="G180" s="419"/>
      <c r="H180" s="419"/>
      <c r="I180" s="419"/>
      <c r="J180" s="419"/>
      <c r="K180" s="419"/>
      <c r="L180" s="419"/>
      <c r="M180" s="419"/>
      <c r="N180" s="419"/>
      <c r="O180" s="419"/>
      <c r="P180" s="419"/>
      <c r="Q180" s="419"/>
      <c r="R180" s="419"/>
      <c r="S180" s="419"/>
      <c r="T180" s="419"/>
      <c r="U180" s="419"/>
      <c r="V180" s="419"/>
      <c r="W180" s="419"/>
    </row>
    <row r="181" spans="1:23" ht="13.5" hidden="1">
      <c r="A181" s="197"/>
      <c r="B181" s="204"/>
      <c r="C181" s="217"/>
      <c r="D181" s="204"/>
      <c r="E181" s="204"/>
      <c r="F181" s="204"/>
      <c r="G181" s="204"/>
      <c r="H181" s="204"/>
      <c r="I181" s="204"/>
      <c r="J181" s="204"/>
      <c r="K181" s="204"/>
      <c r="M181" s="204"/>
      <c r="N181" s="204"/>
      <c r="O181" s="204"/>
      <c r="P181" s="204"/>
      <c r="Q181" s="204"/>
      <c r="R181" s="204"/>
      <c r="S181" s="218"/>
      <c r="T181" s="204"/>
      <c r="U181" s="204"/>
      <c r="V181" s="204"/>
      <c r="W181" s="204"/>
    </row>
    <row r="182" spans="1:23" ht="8.25" customHeight="1">
      <c r="A182" s="197"/>
      <c r="B182" s="204"/>
      <c r="C182" s="217"/>
      <c r="D182" s="204"/>
      <c r="E182" s="204"/>
      <c r="F182" s="204"/>
      <c r="G182" s="218"/>
      <c r="H182" s="218"/>
      <c r="I182" s="218"/>
      <c r="J182" s="204"/>
      <c r="K182" s="204"/>
      <c r="L182" s="204"/>
      <c r="N182" s="420"/>
      <c r="O182" s="420"/>
      <c r="P182" s="420"/>
      <c r="Q182" s="420"/>
      <c r="R182" s="204"/>
      <c r="S182" s="218"/>
      <c r="T182" s="204"/>
      <c r="U182" s="204"/>
      <c r="V182" s="204"/>
      <c r="W182" s="204"/>
    </row>
    <row r="183" spans="1:23" ht="12.75" customHeight="1">
      <c r="A183" s="1003" t="s">
        <v>0</v>
      </c>
      <c r="B183" s="1006" t="s">
        <v>255</v>
      </c>
      <c r="C183" s="937" t="s">
        <v>117</v>
      </c>
      <c r="D183" s="937" t="s">
        <v>184</v>
      </c>
      <c r="E183" s="354" t="s">
        <v>2</v>
      </c>
      <c r="F183" s="940" t="s">
        <v>34</v>
      </c>
      <c r="G183" s="940" t="s">
        <v>35</v>
      </c>
      <c r="H183" s="1009" t="s">
        <v>58</v>
      </c>
      <c r="I183" s="1012" t="s">
        <v>39</v>
      </c>
      <c r="J183" s="421" t="s">
        <v>33</v>
      </c>
      <c r="K183" s="422"/>
      <c r="L183" s="422"/>
      <c r="M183" s="422"/>
      <c r="N183" s="422"/>
      <c r="O183" s="1015" t="s">
        <v>5</v>
      </c>
      <c r="P183" s="1016"/>
      <c r="Q183" s="1016"/>
      <c r="R183" s="1016"/>
      <c r="S183" s="1016"/>
      <c r="T183" s="1017"/>
      <c r="U183" s="422"/>
      <c r="V183" s="951" t="s">
        <v>256</v>
      </c>
      <c r="W183" s="951" t="s">
        <v>257</v>
      </c>
    </row>
    <row r="184" spans="1:23" ht="12.75" customHeight="1">
      <c r="A184" s="1004"/>
      <c r="B184" s="1007"/>
      <c r="C184" s="938"/>
      <c r="D184" s="938"/>
      <c r="E184" s="355" t="s">
        <v>3</v>
      </c>
      <c r="F184" s="940"/>
      <c r="G184" s="940"/>
      <c r="H184" s="1010"/>
      <c r="I184" s="1013"/>
      <c r="J184" s="984" t="s">
        <v>187</v>
      </c>
      <c r="K184" s="1018" t="s">
        <v>258</v>
      </c>
      <c r="L184" s="987" t="s">
        <v>259</v>
      </c>
      <c r="M184" s="1021"/>
      <c r="N184" s="1024" t="s">
        <v>191</v>
      </c>
      <c r="O184" s="984" t="s">
        <v>260</v>
      </c>
      <c r="P184" s="984" t="s">
        <v>193</v>
      </c>
      <c r="Q184" s="984" t="s">
        <v>243</v>
      </c>
      <c r="R184" s="1027" t="s">
        <v>244</v>
      </c>
      <c r="S184" s="957" t="s">
        <v>20</v>
      </c>
      <c r="T184" s="1028" t="s">
        <v>51</v>
      </c>
      <c r="U184" s="1029" t="s">
        <v>261</v>
      </c>
      <c r="V184" s="952"/>
      <c r="W184" s="952"/>
    </row>
    <row r="185" spans="1:23" ht="13.5">
      <c r="A185" s="1004"/>
      <c r="B185" s="1007"/>
      <c r="C185" s="938"/>
      <c r="D185" s="938"/>
      <c r="E185" s="355" t="s">
        <v>4</v>
      </c>
      <c r="F185" s="940"/>
      <c r="G185" s="940"/>
      <c r="H185" s="1010"/>
      <c r="I185" s="1013"/>
      <c r="J185" s="984"/>
      <c r="K185" s="1019"/>
      <c r="L185" s="987"/>
      <c r="M185" s="1022"/>
      <c r="N185" s="1025"/>
      <c r="O185" s="984"/>
      <c r="P185" s="984"/>
      <c r="Q185" s="984"/>
      <c r="R185" s="966"/>
      <c r="S185" s="957"/>
      <c r="T185" s="968"/>
      <c r="U185" s="1029"/>
      <c r="V185" s="952"/>
      <c r="W185" s="952"/>
    </row>
    <row r="186" spans="1:23" ht="13.5">
      <c r="A186" s="1004"/>
      <c r="B186" s="1007"/>
      <c r="C186" s="938"/>
      <c r="D186" s="938"/>
      <c r="E186" s="355"/>
      <c r="F186" s="940"/>
      <c r="G186" s="940"/>
      <c r="H186" s="1010"/>
      <c r="I186" s="1013"/>
      <c r="J186" s="984"/>
      <c r="K186" s="1019"/>
      <c r="L186" s="987"/>
      <c r="M186" s="1022"/>
      <c r="N186" s="1025"/>
      <c r="O186" s="984"/>
      <c r="P186" s="984"/>
      <c r="Q186" s="984"/>
      <c r="R186" s="966"/>
      <c r="S186" s="957"/>
      <c r="T186" s="968"/>
      <c r="U186" s="1029"/>
      <c r="V186" s="952"/>
      <c r="W186" s="952"/>
    </row>
    <row r="187" spans="1:23" ht="96" customHeight="1">
      <c r="A187" s="1005"/>
      <c r="B187" s="1008"/>
      <c r="C187" s="939"/>
      <c r="D187" s="939"/>
      <c r="E187" s="426"/>
      <c r="F187" s="940"/>
      <c r="G187" s="940"/>
      <c r="H187" s="1011"/>
      <c r="I187" s="1014"/>
      <c r="J187" s="984"/>
      <c r="K187" s="1020"/>
      <c r="L187" s="987"/>
      <c r="M187" s="1023"/>
      <c r="N187" s="1026"/>
      <c r="O187" s="984"/>
      <c r="P187" s="984"/>
      <c r="Q187" s="984"/>
      <c r="R187" s="967"/>
      <c r="S187" s="958"/>
      <c r="T187" s="969"/>
      <c r="U187" s="1029"/>
      <c r="V187" s="953"/>
      <c r="W187" s="953"/>
    </row>
    <row r="188" spans="1:23" ht="18.75" customHeight="1">
      <c r="A188" s="228">
        <v>1</v>
      </c>
      <c r="B188" s="427" t="s">
        <v>262</v>
      </c>
      <c r="C188" s="428" t="s">
        <v>118</v>
      </c>
      <c r="D188" s="427"/>
      <c r="E188" s="358">
        <v>1</v>
      </c>
      <c r="F188" s="237">
        <v>8071</v>
      </c>
      <c r="G188" s="328">
        <v>16</v>
      </c>
      <c r="H188" s="234">
        <f aca="true" t="shared" si="17" ref="H188:H196">F188*E188</f>
        <v>8071</v>
      </c>
      <c r="I188" s="234">
        <f>H188*10%</f>
        <v>807.1</v>
      </c>
      <c r="J188" s="237">
        <f>(H188+I188+L188+N188)*30%</f>
        <v>2663.43</v>
      </c>
      <c r="K188" s="237">
        <f>(H188+I188+N188)*20%</f>
        <v>1775.6200000000001</v>
      </c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48"/>
      <c r="W188" s="237">
        <f>H188+I188+J188+K188+L188+M188+N188+O188+P188+Q188+R188+S188+T188+U188+V188</f>
        <v>13317.150000000001</v>
      </c>
    </row>
    <row r="189" spans="1:23" ht="37.5" customHeight="1">
      <c r="A189" s="240">
        <v>2</v>
      </c>
      <c r="B189" s="429" t="s">
        <v>263</v>
      </c>
      <c r="C189" s="430" t="s">
        <v>118</v>
      </c>
      <c r="D189" s="429"/>
      <c r="E189" s="369">
        <v>1</v>
      </c>
      <c r="F189" s="287">
        <f>ROUND(F188*95%,2)</f>
        <v>7667.45</v>
      </c>
      <c r="G189" s="431" t="s">
        <v>199</v>
      </c>
      <c r="H189" s="432">
        <f>ROUND(F189*E189,2)</f>
        <v>7667.45</v>
      </c>
      <c r="I189" s="432">
        <f>ROUND(H189*10%,2)</f>
        <v>766.75</v>
      </c>
      <c r="J189" s="237">
        <f>(H189+I189+L189+N189)*30%</f>
        <v>2530.26</v>
      </c>
      <c r="K189" s="237">
        <f>(H189+I189+N189)*20%</f>
        <v>1686.8400000000001</v>
      </c>
      <c r="L189" s="237"/>
      <c r="M189" s="248"/>
      <c r="N189" s="237"/>
      <c r="O189" s="237"/>
      <c r="P189" s="237"/>
      <c r="Q189" s="237"/>
      <c r="R189" s="248"/>
      <c r="S189" s="248"/>
      <c r="T189" s="248"/>
      <c r="U189" s="248"/>
      <c r="V189" s="248"/>
      <c r="W189" s="237">
        <f>H189+I189+J189+K189+L189+M189+N189+O189+P189+Q189+R189+S189+T189+U189+V189+0.01</f>
        <v>12651.310000000001</v>
      </c>
    </row>
    <row r="190" spans="1:23" ht="53.25" customHeight="1" hidden="1">
      <c r="A190" s="240"/>
      <c r="B190" s="433"/>
      <c r="C190" s="434"/>
      <c r="D190" s="433"/>
      <c r="E190" s="369"/>
      <c r="F190" s="435"/>
      <c r="G190" s="436"/>
      <c r="H190" s="437">
        <f t="shared" si="17"/>
        <v>0</v>
      </c>
      <c r="I190" s="437">
        <f aca="true" t="shared" si="18" ref="I190:I196">H190*10%</f>
        <v>0</v>
      </c>
      <c r="J190" s="438">
        <v>2036.8</v>
      </c>
      <c r="K190" s="438">
        <v>2316.86</v>
      </c>
      <c r="L190" s="438"/>
      <c r="M190" s="439"/>
      <c r="N190" s="438"/>
      <c r="O190" s="438"/>
      <c r="P190" s="438"/>
      <c r="Q190" s="438"/>
      <c r="R190" s="439"/>
      <c r="S190" s="439"/>
      <c r="T190" s="439"/>
      <c r="U190" s="439"/>
      <c r="V190" s="439"/>
      <c r="W190" s="315">
        <f aca="true" t="shared" si="19" ref="W190:W213">H190+I190+J190+K190+L190+M190+N190+O190+P190+Q190+R190+S190+T190+U190+V190</f>
        <v>4353.66</v>
      </c>
    </row>
    <row r="191" spans="1:23" ht="17.25" customHeight="1">
      <c r="A191" s="240">
        <v>3</v>
      </c>
      <c r="B191" s="303" t="s">
        <v>202</v>
      </c>
      <c r="C191" s="302">
        <v>2340</v>
      </c>
      <c r="D191" s="429"/>
      <c r="E191" s="369">
        <v>0.5</v>
      </c>
      <c r="F191" s="237">
        <v>5699</v>
      </c>
      <c r="G191" s="328">
        <v>11</v>
      </c>
      <c r="H191" s="234">
        <f t="shared" si="17"/>
        <v>2849.5</v>
      </c>
      <c r="I191" s="234">
        <f t="shared" si="18"/>
        <v>284.95</v>
      </c>
      <c r="J191" s="237">
        <f>(H191+I191)*10%</f>
        <v>313.445</v>
      </c>
      <c r="K191" s="237">
        <f aca="true" t="shared" si="20" ref="K191:K196">(H191+I191)*15%</f>
        <v>470.16749999999996</v>
      </c>
      <c r="L191" s="237"/>
      <c r="M191" s="248"/>
      <c r="N191" s="237"/>
      <c r="O191" s="237"/>
      <c r="P191" s="237"/>
      <c r="Q191" s="237"/>
      <c r="R191" s="248"/>
      <c r="S191" s="248"/>
      <c r="T191" s="248"/>
      <c r="U191" s="248"/>
      <c r="V191" s="248"/>
      <c r="W191" s="237">
        <f t="shared" si="19"/>
        <v>3918.0625</v>
      </c>
    </row>
    <row r="192" spans="1:23" ht="20.25" customHeight="1">
      <c r="A192" s="240">
        <v>4</v>
      </c>
      <c r="B192" s="429" t="s">
        <v>13</v>
      </c>
      <c r="C192" s="430" t="s">
        <v>121</v>
      </c>
      <c r="D192" s="429"/>
      <c r="E192" s="369">
        <v>0.5</v>
      </c>
      <c r="F192" s="237">
        <v>6133</v>
      </c>
      <c r="G192" s="328">
        <v>12</v>
      </c>
      <c r="H192" s="234">
        <f t="shared" si="17"/>
        <v>3066.5</v>
      </c>
      <c r="I192" s="234">
        <f t="shared" si="18"/>
        <v>306.65000000000003</v>
      </c>
      <c r="J192" s="237">
        <f>(H192+I192)*10%</f>
        <v>337.31500000000005</v>
      </c>
      <c r="K192" s="237">
        <f t="shared" si="20"/>
        <v>505.97249999999997</v>
      </c>
      <c r="L192" s="237"/>
      <c r="M192" s="248"/>
      <c r="N192" s="237"/>
      <c r="O192" s="237"/>
      <c r="P192" s="237"/>
      <c r="Q192" s="237"/>
      <c r="R192" s="248"/>
      <c r="S192" s="248"/>
      <c r="T192" s="248"/>
      <c r="U192" s="248"/>
      <c r="V192" s="248"/>
      <c r="W192" s="237">
        <f>H192+I192+J192+K192+L192+M192+N192+O192+P192+Q192+R192+S192+T192+U192+V192</f>
        <v>4216.4375</v>
      </c>
    </row>
    <row r="193" spans="1:23" ht="21" customHeight="1">
      <c r="A193" s="240">
        <v>5</v>
      </c>
      <c r="B193" s="429" t="s">
        <v>204</v>
      </c>
      <c r="C193" s="430" t="s">
        <v>205</v>
      </c>
      <c r="D193" s="429"/>
      <c r="E193" s="369">
        <v>1</v>
      </c>
      <c r="F193" s="237">
        <v>5699</v>
      </c>
      <c r="G193" s="328">
        <v>11</v>
      </c>
      <c r="H193" s="234">
        <f t="shared" si="17"/>
        <v>5699</v>
      </c>
      <c r="I193" s="234">
        <f t="shared" si="18"/>
        <v>569.9</v>
      </c>
      <c r="J193" s="237"/>
      <c r="K193" s="237">
        <f t="shared" si="20"/>
        <v>940.3349999999999</v>
      </c>
      <c r="L193" s="237"/>
      <c r="M193" s="248"/>
      <c r="N193" s="237"/>
      <c r="O193" s="237"/>
      <c r="P193" s="237"/>
      <c r="Q193" s="237"/>
      <c r="R193" s="248"/>
      <c r="S193" s="248"/>
      <c r="T193" s="248"/>
      <c r="U193" s="248"/>
      <c r="V193" s="248"/>
      <c r="W193" s="237">
        <f t="shared" si="19"/>
        <v>7209.235</v>
      </c>
    </row>
    <row r="194" spans="1:23" ht="24.75" customHeight="1">
      <c r="A194" s="240">
        <v>6</v>
      </c>
      <c r="B194" s="429" t="s">
        <v>264</v>
      </c>
      <c r="C194" s="430">
        <v>3340</v>
      </c>
      <c r="D194" s="429"/>
      <c r="E194" s="369">
        <v>1.5</v>
      </c>
      <c r="F194" s="248">
        <v>5699</v>
      </c>
      <c r="G194" s="329">
        <v>11</v>
      </c>
      <c r="H194" s="234">
        <f>F194*E194</f>
        <v>8548.5</v>
      </c>
      <c r="I194" s="234">
        <f t="shared" si="18"/>
        <v>854.85</v>
      </c>
      <c r="J194" s="237">
        <f>(H194+I194)*10%</f>
        <v>940.335</v>
      </c>
      <c r="K194" s="237">
        <f t="shared" si="20"/>
        <v>1410.5025</v>
      </c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37">
        <f>H194+I194+J194+K194+L194+M194+N194+O194+P194+Q194+R194+S194+T194+U194+V194</f>
        <v>11754.187500000002</v>
      </c>
    </row>
    <row r="195" spans="1:23" ht="20.25" customHeight="1">
      <c r="A195" s="268">
        <v>7</v>
      </c>
      <c r="B195" s="429" t="s">
        <v>206</v>
      </c>
      <c r="C195" s="440">
        <v>3340</v>
      </c>
      <c r="D195" s="441"/>
      <c r="E195" s="442">
        <v>1</v>
      </c>
      <c r="F195" s="248">
        <v>5699</v>
      </c>
      <c r="G195" s="329">
        <v>11</v>
      </c>
      <c r="H195" s="234">
        <f t="shared" si="17"/>
        <v>5699</v>
      </c>
      <c r="I195" s="234">
        <f t="shared" si="18"/>
        <v>569.9</v>
      </c>
      <c r="J195" s="237">
        <f>(H195+I195)*10%</f>
        <v>626.89</v>
      </c>
      <c r="K195" s="237">
        <f t="shared" si="20"/>
        <v>940.3349999999999</v>
      </c>
      <c r="L195" s="248"/>
      <c r="M195" s="248"/>
      <c r="N195" s="248"/>
      <c r="O195" s="248"/>
      <c r="P195" s="248"/>
      <c r="Q195" s="248"/>
      <c r="R195" s="248"/>
      <c r="S195" s="297"/>
      <c r="T195" s="297"/>
      <c r="U195" s="297"/>
      <c r="V195" s="248"/>
      <c r="W195" s="237">
        <f>H195+I195+J195+K195+L195+M195+N195+O195+P195+Q195+R195+S195+T195+U195+V195</f>
        <v>7836.125</v>
      </c>
    </row>
    <row r="196" spans="1:23" ht="24" customHeight="1">
      <c r="A196" s="268">
        <v>8</v>
      </c>
      <c r="B196" s="441" t="s">
        <v>207</v>
      </c>
      <c r="C196" s="440">
        <v>3340</v>
      </c>
      <c r="D196" s="441"/>
      <c r="E196" s="442">
        <v>0.5</v>
      </c>
      <c r="F196" s="248">
        <v>5265</v>
      </c>
      <c r="G196" s="329">
        <v>10</v>
      </c>
      <c r="H196" s="234">
        <f t="shared" si="17"/>
        <v>2632.5</v>
      </c>
      <c r="I196" s="234">
        <f t="shared" si="18"/>
        <v>263.25</v>
      </c>
      <c r="J196" s="237">
        <f>(H196+I196)*10%</f>
        <v>289.575</v>
      </c>
      <c r="K196" s="237">
        <f t="shared" si="20"/>
        <v>434.3625</v>
      </c>
      <c r="L196" s="248"/>
      <c r="M196" s="248"/>
      <c r="N196" s="248"/>
      <c r="O196" s="248"/>
      <c r="P196" s="248"/>
      <c r="Q196" s="248"/>
      <c r="R196" s="248"/>
      <c r="S196" s="297"/>
      <c r="T196" s="297"/>
      <c r="U196" s="297"/>
      <c r="V196" s="248"/>
      <c r="W196" s="237">
        <f>H196+I196+J196+K196+L196+M196+N196+O196+P196+Q196+R196+S196+T196+U196+V196</f>
        <v>3619.6875</v>
      </c>
    </row>
    <row r="197" spans="1:23" ht="24" customHeight="1" thickBot="1">
      <c r="A197" s="268">
        <v>9</v>
      </c>
      <c r="B197" s="441" t="s">
        <v>208</v>
      </c>
      <c r="C197" s="440">
        <v>2320</v>
      </c>
      <c r="D197" s="441"/>
      <c r="E197" s="297">
        <v>20.14</v>
      </c>
      <c r="F197" s="443"/>
      <c r="G197" s="444"/>
      <c r="H197" s="445">
        <f>138405.15+3148.94</f>
        <v>141554.09</v>
      </c>
      <c r="I197" s="445">
        <f>13840.51+314.91</f>
        <v>14155.42</v>
      </c>
      <c r="J197" s="443">
        <v>36390.93</v>
      </c>
      <c r="K197" s="443">
        <v>26093.16</v>
      </c>
      <c r="L197" s="443"/>
      <c r="M197" s="443"/>
      <c r="N197" s="443"/>
      <c r="O197" s="443">
        <v>13632.75</v>
      </c>
      <c r="P197" s="443">
        <v>16132.52</v>
      </c>
      <c r="Q197" s="443">
        <v>843.42</v>
      </c>
      <c r="R197" s="443"/>
      <c r="S197" s="297"/>
      <c r="T197" s="297"/>
      <c r="U197" s="297"/>
      <c r="V197" s="248"/>
      <c r="W197" s="237">
        <f>H197+I197+J197+K197+L197+M197+N197+O197+P197+Q197+R197+S197+T197+U197+V197</f>
        <v>248802.29</v>
      </c>
    </row>
    <row r="198" spans="1:23" ht="20.25" customHeight="1" thickBot="1">
      <c r="A198" s="279"/>
      <c r="B198" s="446" t="s">
        <v>265</v>
      </c>
      <c r="C198" s="447"/>
      <c r="D198" s="448"/>
      <c r="E198" s="449">
        <f>E188+E189+E192+E193+E194+E197+E196+E195+E191</f>
        <v>27.14</v>
      </c>
      <c r="F198" s="449"/>
      <c r="G198" s="449"/>
      <c r="H198" s="449">
        <f aca="true" t="shared" si="21" ref="H198:V198">H188+H189+H192+H193+H194+H197+H196+H195+H191+H191</f>
        <v>188637.03999999998</v>
      </c>
      <c r="I198" s="449">
        <f>I188+I189+I192+I193+I194+I197+I196+I195+I191+I191</f>
        <v>18863.72</v>
      </c>
      <c r="J198" s="449">
        <f t="shared" si="21"/>
        <v>44405.625</v>
      </c>
      <c r="K198" s="449">
        <v>34293.11</v>
      </c>
      <c r="L198" s="449">
        <f t="shared" si="21"/>
        <v>0</v>
      </c>
      <c r="M198" s="449">
        <f t="shared" si="21"/>
        <v>0</v>
      </c>
      <c r="N198" s="449">
        <f t="shared" si="21"/>
        <v>0</v>
      </c>
      <c r="O198" s="449">
        <f t="shared" si="21"/>
        <v>13632.75</v>
      </c>
      <c r="P198" s="449">
        <f t="shared" si="21"/>
        <v>16132.52</v>
      </c>
      <c r="Q198" s="449">
        <f t="shared" si="21"/>
        <v>843.42</v>
      </c>
      <c r="R198" s="449">
        <f t="shared" si="21"/>
        <v>0</v>
      </c>
      <c r="S198" s="449">
        <f t="shared" si="21"/>
        <v>0</v>
      </c>
      <c r="T198" s="449">
        <f t="shared" si="21"/>
        <v>0</v>
      </c>
      <c r="U198" s="449">
        <f t="shared" si="21"/>
        <v>0</v>
      </c>
      <c r="V198" s="449">
        <f t="shared" si="21"/>
        <v>0</v>
      </c>
      <c r="W198" s="449">
        <f>W188+W189+W192+W193+W194+W197+W196+W195+W191</f>
        <v>313324.485</v>
      </c>
    </row>
    <row r="199" spans="1:23" ht="26.25" customHeight="1">
      <c r="A199" s="228">
        <v>10</v>
      </c>
      <c r="B199" s="450" t="s">
        <v>266</v>
      </c>
      <c r="C199" s="451" t="s">
        <v>267</v>
      </c>
      <c r="D199" s="427"/>
      <c r="E199" s="358">
        <v>0.5</v>
      </c>
      <c r="F199" s="387">
        <v>6133</v>
      </c>
      <c r="G199" s="328">
        <v>12</v>
      </c>
      <c r="H199" s="432">
        <f aca="true" t="shared" si="22" ref="H199:H213">F199*E199</f>
        <v>3066.5</v>
      </c>
      <c r="I199" s="234"/>
      <c r="J199" s="237">
        <f>(H199+I199)*30%</f>
        <v>919.9499999999999</v>
      </c>
      <c r="K199" s="237"/>
      <c r="L199" s="237">
        <v>306.65</v>
      </c>
      <c r="M199" s="237"/>
      <c r="N199" s="237"/>
      <c r="O199" s="237"/>
      <c r="P199" s="237"/>
      <c r="Q199" s="237"/>
      <c r="R199" s="237"/>
      <c r="S199" s="237"/>
      <c r="T199" s="237"/>
      <c r="U199" s="237"/>
      <c r="V199" s="361"/>
      <c r="W199" s="237">
        <f t="shared" si="19"/>
        <v>4293.099999999999</v>
      </c>
    </row>
    <row r="200" spans="1:23" ht="35.25" customHeight="1">
      <c r="A200" s="240">
        <v>11</v>
      </c>
      <c r="B200" s="429" t="s">
        <v>212</v>
      </c>
      <c r="C200" s="430">
        <v>3231</v>
      </c>
      <c r="D200" s="429"/>
      <c r="E200" s="369">
        <v>1</v>
      </c>
      <c r="F200" s="387">
        <v>4195</v>
      </c>
      <c r="G200" s="328">
        <v>6</v>
      </c>
      <c r="H200" s="234">
        <f t="shared" si="22"/>
        <v>4195</v>
      </c>
      <c r="I200" s="234"/>
      <c r="J200" s="237">
        <f>F200*E200*20%</f>
        <v>839</v>
      </c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361">
        <f>6700*E200-H200-I200-J200-K200-L200-M200-O200-P200-Q200-U200</f>
        <v>1666</v>
      </c>
      <c r="W200" s="237">
        <f t="shared" si="19"/>
        <v>6700</v>
      </c>
    </row>
    <row r="201" spans="1:23" ht="17.25" customHeight="1" hidden="1">
      <c r="A201" s="240">
        <v>10</v>
      </c>
      <c r="B201" s="429" t="s">
        <v>213</v>
      </c>
      <c r="C201" s="430"/>
      <c r="D201" s="429"/>
      <c r="E201" s="369"/>
      <c r="F201" s="387"/>
      <c r="G201" s="328">
        <v>9</v>
      </c>
      <c r="H201" s="234">
        <f t="shared" si="22"/>
        <v>0</v>
      </c>
      <c r="I201" s="234"/>
      <c r="J201" s="237">
        <f>F201*E201*30%</f>
        <v>0</v>
      </c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361">
        <f>6500*E201-H201-I201-J201-K201-L201-M201-O201-P201-Q201-U201</f>
        <v>0</v>
      </c>
      <c r="W201" s="237">
        <f t="shared" si="19"/>
        <v>0</v>
      </c>
    </row>
    <row r="202" spans="1:23" ht="34.5" customHeight="1">
      <c r="A202" s="240">
        <v>12</v>
      </c>
      <c r="B202" s="429" t="s">
        <v>122</v>
      </c>
      <c r="C202" s="430">
        <v>1239</v>
      </c>
      <c r="D202" s="429"/>
      <c r="E202" s="369">
        <v>1</v>
      </c>
      <c r="F202" s="387">
        <v>4745</v>
      </c>
      <c r="G202" s="328">
        <v>8</v>
      </c>
      <c r="H202" s="234">
        <f t="shared" si="22"/>
        <v>4745</v>
      </c>
      <c r="I202" s="234"/>
      <c r="J202" s="237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>
        <f>H202*50%</f>
        <v>2372.5</v>
      </c>
      <c r="V202" s="361"/>
      <c r="W202" s="237">
        <f t="shared" si="19"/>
        <v>7117.5</v>
      </c>
    </row>
    <row r="203" spans="1:23" ht="46.5" customHeight="1">
      <c r="A203" s="240">
        <v>13</v>
      </c>
      <c r="B203" s="241" t="s">
        <v>218</v>
      </c>
      <c r="C203" s="242">
        <v>7129</v>
      </c>
      <c r="D203" s="429"/>
      <c r="E203" s="391">
        <v>1</v>
      </c>
      <c r="F203" s="452">
        <v>3674</v>
      </c>
      <c r="G203" s="328">
        <v>4</v>
      </c>
      <c r="H203" s="234">
        <f t="shared" si="22"/>
        <v>3674</v>
      </c>
      <c r="I203" s="234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248"/>
      <c r="U203" s="248"/>
      <c r="V203" s="361">
        <f>6700*E203-H203-I203-J203-K203-L203-M203-O203-P203-Q203-U203</f>
        <v>3026</v>
      </c>
      <c r="W203" s="237">
        <f t="shared" si="19"/>
        <v>6700</v>
      </c>
    </row>
    <row r="204" spans="1:23" ht="18" customHeight="1">
      <c r="A204" s="240">
        <v>14</v>
      </c>
      <c r="B204" s="429" t="s">
        <v>10</v>
      </c>
      <c r="C204" s="430">
        <v>9152</v>
      </c>
      <c r="D204" s="429"/>
      <c r="E204" s="248">
        <v>2.75</v>
      </c>
      <c r="F204" s="387">
        <v>3153</v>
      </c>
      <c r="G204" s="328">
        <v>2</v>
      </c>
      <c r="H204" s="234">
        <f t="shared" si="22"/>
        <v>8670.75</v>
      </c>
      <c r="I204" s="234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90">
        <f>F204*40%*E204</f>
        <v>3468.3</v>
      </c>
      <c r="U204" s="248"/>
      <c r="V204" s="361">
        <f aca="true" t="shared" si="23" ref="V204:V213">6700*E204-H204-I204-J204-K204-L204-M204-O204-P204-Q204-U204</f>
        <v>9754.25</v>
      </c>
      <c r="W204" s="237">
        <f t="shared" si="19"/>
        <v>21893.3</v>
      </c>
    </row>
    <row r="205" spans="1:23" ht="34.5" customHeight="1">
      <c r="A205" s="240">
        <v>15</v>
      </c>
      <c r="B205" s="241" t="s">
        <v>250</v>
      </c>
      <c r="C205" s="242">
        <v>9132</v>
      </c>
      <c r="D205" s="241"/>
      <c r="E205" s="369">
        <v>6.5</v>
      </c>
      <c r="F205" s="387">
        <v>3153</v>
      </c>
      <c r="G205" s="328">
        <v>2</v>
      </c>
      <c r="H205" s="234">
        <f t="shared" si="22"/>
        <v>20494.5</v>
      </c>
      <c r="I205" s="234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>
        <f>SUM(F205*7*10%)</f>
        <v>2207.1</v>
      </c>
      <c r="T205" s="330"/>
      <c r="U205" s="248"/>
      <c r="V205" s="361">
        <f t="shared" si="23"/>
        <v>23055.5</v>
      </c>
      <c r="W205" s="237">
        <f t="shared" si="19"/>
        <v>45757.1</v>
      </c>
    </row>
    <row r="206" spans="1:23" ht="24.75" customHeight="1">
      <c r="A206" s="240">
        <v>16</v>
      </c>
      <c r="B206" s="241" t="s">
        <v>68</v>
      </c>
      <c r="C206" s="242">
        <v>3570</v>
      </c>
      <c r="D206" s="241"/>
      <c r="E206" s="369">
        <v>1</v>
      </c>
      <c r="F206" s="387">
        <v>4195</v>
      </c>
      <c r="G206" s="328">
        <v>6</v>
      </c>
      <c r="H206" s="234">
        <f t="shared" si="22"/>
        <v>4195</v>
      </c>
      <c r="I206" s="234"/>
      <c r="J206" s="248"/>
      <c r="K206" s="248"/>
      <c r="L206" s="248"/>
      <c r="M206" s="248"/>
      <c r="N206" s="248"/>
      <c r="O206" s="248"/>
      <c r="P206" s="248"/>
      <c r="Q206" s="248"/>
      <c r="R206" s="248">
        <f>F206*E206*12%</f>
        <v>503.4</v>
      </c>
      <c r="S206" s="248"/>
      <c r="T206" s="330"/>
      <c r="U206" s="290">
        <f>F206*20%+F206*E206*15%</f>
        <v>1468.25</v>
      </c>
      <c r="V206" s="361">
        <f t="shared" si="23"/>
        <v>1036.75</v>
      </c>
      <c r="W206" s="237">
        <f t="shared" si="19"/>
        <v>7203.4</v>
      </c>
    </row>
    <row r="207" spans="1:23" ht="17.25" customHeight="1">
      <c r="A207" s="240">
        <v>17</v>
      </c>
      <c r="B207" s="429" t="s">
        <v>8</v>
      </c>
      <c r="C207" s="430">
        <v>5122</v>
      </c>
      <c r="D207" s="429"/>
      <c r="E207" s="369">
        <v>1</v>
      </c>
      <c r="F207" s="387">
        <v>3934</v>
      </c>
      <c r="G207" s="328">
        <v>5</v>
      </c>
      <c r="H207" s="234">
        <f t="shared" si="22"/>
        <v>3934</v>
      </c>
      <c r="I207" s="234"/>
      <c r="J207" s="248"/>
      <c r="K207" s="248"/>
      <c r="L207" s="248"/>
      <c r="M207" s="248"/>
      <c r="N207" s="248"/>
      <c r="O207" s="248"/>
      <c r="P207" s="248"/>
      <c r="Q207" s="248"/>
      <c r="R207" s="248">
        <f>F207*E207*12%</f>
        <v>472.08</v>
      </c>
      <c r="S207" s="248"/>
      <c r="T207" s="330"/>
      <c r="U207" s="290">
        <f>F207*E207*15%</f>
        <v>590.1</v>
      </c>
      <c r="V207" s="361">
        <f t="shared" si="23"/>
        <v>2175.9</v>
      </c>
      <c r="W207" s="237">
        <f t="shared" si="19"/>
        <v>7172.08</v>
      </c>
    </row>
    <row r="208" spans="1:23" ht="33" customHeight="1">
      <c r="A208" s="240">
        <v>18</v>
      </c>
      <c r="B208" s="241" t="s">
        <v>128</v>
      </c>
      <c r="C208" s="242">
        <v>9132</v>
      </c>
      <c r="D208" s="429"/>
      <c r="E208" s="369">
        <v>1</v>
      </c>
      <c r="F208" s="387">
        <v>2893</v>
      </c>
      <c r="G208" s="328">
        <v>1</v>
      </c>
      <c r="H208" s="234">
        <f t="shared" si="22"/>
        <v>2893</v>
      </c>
      <c r="I208" s="234"/>
      <c r="J208" s="248"/>
      <c r="K208" s="248"/>
      <c r="L208" s="248"/>
      <c r="M208" s="248"/>
      <c r="N208" s="248"/>
      <c r="O208" s="248"/>
      <c r="P208" s="248"/>
      <c r="Q208" s="248"/>
      <c r="R208" s="248">
        <f>F208*E208*12%</f>
        <v>347.15999999999997</v>
      </c>
      <c r="S208" s="248"/>
      <c r="T208" s="330"/>
      <c r="U208" s="290">
        <f>F208*E208*15%</f>
        <v>433.95</v>
      </c>
      <c r="V208" s="361">
        <f t="shared" si="23"/>
        <v>3373.05</v>
      </c>
      <c r="W208" s="237">
        <f t="shared" si="19"/>
        <v>7047.16</v>
      </c>
    </row>
    <row r="209" spans="1:23" ht="17.25" customHeight="1" hidden="1">
      <c r="A209" s="240"/>
      <c r="B209" s="429"/>
      <c r="C209" s="430"/>
      <c r="D209" s="429"/>
      <c r="E209" s="248"/>
      <c r="F209" s="387"/>
      <c r="G209" s="328"/>
      <c r="H209" s="234">
        <f t="shared" si="22"/>
        <v>0</v>
      </c>
      <c r="I209" s="234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330"/>
      <c r="U209" s="290"/>
      <c r="V209" s="361">
        <f t="shared" si="23"/>
        <v>0</v>
      </c>
      <c r="W209" s="237">
        <f t="shared" si="19"/>
        <v>0</v>
      </c>
    </row>
    <row r="210" spans="1:23" ht="22.5" customHeight="1">
      <c r="A210" s="240">
        <v>19</v>
      </c>
      <c r="B210" s="429" t="s">
        <v>12</v>
      </c>
      <c r="C210" s="430">
        <v>4131</v>
      </c>
      <c r="D210" s="429"/>
      <c r="E210" s="369">
        <v>1</v>
      </c>
      <c r="F210" s="387">
        <v>3153</v>
      </c>
      <c r="G210" s="328">
        <v>2</v>
      </c>
      <c r="H210" s="234">
        <f t="shared" si="22"/>
        <v>3153</v>
      </c>
      <c r="I210" s="234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330"/>
      <c r="U210" s="290"/>
      <c r="V210" s="361">
        <f t="shared" si="23"/>
        <v>3547</v>
      </c>
      <c r="W210" s="237">
        <f t="shared" si="19"/>
        <v>6700</v>
      </c>
    </row>
    <row r="211" spans="1:23" ht="15" customHeight="1" hidden="1">
      <c r="A211" s="240"/>
      <c r="B211" s="429"/>
      <c r="C211" s="430"/>
      <c r="D211" s="429"/>
      <c r="E211" s="369"/>
      <c r="F211" s="389"/>
      <c r="G211" s="328"/>
      <c r="H211" s="234">
        <f t="shared" si="22"/>
        <v>0</v>
      </c>
      <c r="I211" s="234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330"/>
      <c r="U211" s="290"/>
      <c r="V211" s="361">
        <f t="shared" si="23"/>
        <v>0</v>
      </c>
      <c r="W211" s="237">
        <f t="shared" si="19"/>
        <v>0</v>
      </c>
    </row>
    <row r="212" spans="1:23" ht="34.5" customHeight="1">
      <c r="A212" s="240">
        <v>20</v>
      </c>
      <c r="B212" s="288" t="s">
        <v>216</v>
      </c>
      <c r="C212" s="242">
        <v>4115</v>
      </c>
      <c r="D212" s="429"/>
      <c r="E212" s="248">
        <f>1-0.5</f>
        <v>0.5</v>
      </c>
      <c r="F212" s="389">
        <v>3934</v>
      </c>
      <c r="G212" s="328">
        <v>5</v>
      </c>
      <c r="H212" s="234">
        <f t="shared" si="22"/>
        <v>1967</v>
      </c>
      <c r="I212" s="234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330"/>
      <c r="U212" s="290"/>
      <c r="V212" s="361">
        <f t="shared" si="23"/>
        <v>1383</v>
      </c>
      <c r="W212" s="237">
        <f t="shared" si="19"/>
        <v>3350</v>
      </c>
    </row>
    <row r="213" spans="1:23" ht="19.5" customHeight="1">
      <c r="A213" s="240">
        <v>21</v>
      </c>
      <c r="B213" s="241" t="s">
        <v>56</v>
      </c>
      <c r="C213" s="242">
        <v>9162</v>
      </c>
      <c r="D213" s="241"/>
      <c r="E213" s="369">
        <v>1</v>
      </c>
      <c r="F213" s="387">
        <v>2893</v>
      </c>
      <c r="G213" s="286">
        <v>1</v>
      </c>
      <c r="H213" s="234">
        <f t="shared" si="22"/>
        <v>2893</v>
      </c>
      <c r="I213" s="234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330"/>
      <c r="U213" s="290"/>
      <c r="V213" s="361">
        <f t="shared" si="23"/>
        <v>3807</v>
      </c>
      <c r="W213" s="237">
        <f t="shared" si="19"/>
        <v>6700</v>
      </c>
    </row>
    <row r="214" spans="1:23" ht="18.75" customHeight="1">
      <c r="A214" s="453"/>
      <c r="B214" s="454" t="s">
        <v>6</v>
      </c>
      <c r="C214" s="222"/>
      <c r="D214" s="454"/>
      <c r="E214" s="248">
        <f>E198+E199+E200+E202+E203+E204+E205+E207+E208+E210+E212+E213+E206</f>
        <v>45.39</v>
      </c>
      <c r="F214" s="248"/>
      <c r="G214" s="248"/>
      <c r="H214" s="248">
        <f aca="true" t="shared" si="24" ref="H214:W214">H198+H199+H200+H202+H203+H204+H205+H207+H208+H210+H212+H213+H206</f>
        <v>252517.78999999998</v>
      </c>
      <c r="I214" s="248">
        <f t="shared" si="24"/>
        <v>18863.72</v>
      </c>
      <c r="J214" s="248">
        <f t="shared" si="24"/>
        <v>46164.575</v>
      </c>
      <c r="K214" s="248">
        <f t="shared" si="24"/>
        <v>34293.11</v>
      </c>
      <c r="L214" s="248">
        <f t="shared" si="24"/>
        <v>306.65</v>
      </c>
      <c r="M214" s="248">
        <f t="shared" si="24"/>
        <v>0</v>
      </c>
      <c r="N214" s="248">
        <f t="shared" si="24"/>
        <v>0</v>
      </c>
      <c r="O214" s="248">
        <f t="shared" si="24"/>
        <v>13632.75</v>
      </c>
      <c r="P214" s="248">
        <f t="shared" si="24"/>
        <v>16132.52</v>
      </c>
      <c r="Q214" s="248">
        <f t="shared" si="24"/>
        <v>843.42</v>
      </c>
      <c r="R214" s="248">
        <f t="shared" si="24"/>
        <v>1322.6399999999999</v>
      </c>
      <c r="S214" s="248">
        <f t="shared" si="24"/>
        <v>2207.1</v>
      </c>
      <c r="T214" s="248">
        <f t="shared" si="24"/>
        <v>3468.3</v>
      </c>
      <c r="U214" s="248">
        <f t="shared" si="24"/>
        <v>4864.799999999999</v>
      </c>
      <c r="V214" s="248">
        <f t="shared" si="24"/>
        <v>52824.450000000004</v>
      </c>
      <c r="W214" s="248">
        <f t="shared" si="24"/>
        <v>443958.12499999994</v>
      </c>
    </row>
    <row r="215" spans="1:23" ht="9.75" customHeight="1" hidden="1">
      <c r="A215" s="197"/>
      <c r="B215" s="204"/>
      <c r="C215" s="217"/>
      <c r="D215" s="204"/>
      <c r="E215" s="204"/>
      <c r="F215" s="204"/>
      <c r="G215" s="218"/>
      <c r="H215" s="218"/>
      <c r="I215" s="218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340"/>
      <c r="W215" s="204"/>
    </row>
    <row r="216" spans="1:23" ht="36" customHeight="1">
      <c r="A216" s="197"/>
      <c r="B216" s="396"/>
      <c r="C216" s="397"/>
      <c r="D216" s="396"/>
      <c r="E216" s="398"/>
      <c r="F216" s="399"/>
      <c r="G216" s="400"/>
      <c r="H216" s="400"/>
      <c r="I216" s="400"/>
      <c r="J216" s="399"/>
      <c r="K216" s="399"/>
      <c r="L216" s="399"/>
      <c r="M216" s="399"/>
      <c r="N216" s="399"/>
      <c r="O216" s="399"/>
      <c r="P216" s="399"/>
      <c r="Q216" s="399"/>
      <c r="R216" s="399"/>
      <c r="S216" s="399"/>
      <c r="T216" s="399"/>
      <c r="U216" s="399"/>
      <c r="V216" s="401"/>
      <c r="W216" s="401"/>
    </row>
    <row r="217" spans="1:23" ht="0.75" customHeight="1">
      <c r="A217" s="197"/>
      <c r="B217" s="198"/>
      <c r="C217" s="199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</row>
    <row r="218" spans="1:23" ht="18" customHeight="1">
      <c r="A218" s="197"/>
      <c r="B218" s="341"/>
      <c r="C218" s="342"/>
      <c r="D218" s="341"/>
      <c r="E218" s="343"/>
      <c r="F218" s="214" t="s">
        <v>169</v>
      </c>
      <c r="G218" s="344"/>
      <c r="H218" s="344"/>
      <c r="I218" s="344"/>
      <c r="J218" s="345"/>
      <c r="K218" s="346"/>
      <c r="L218" s="346"/>
      <c r="M218" s="346"/>
      <c r="N218" s="346"/>
      <c r="O218" s="346"/>
      <c r="P218" s="346"/>
      <c r="Q218" s="346"/>
      <c r="R218" s="346" t="s">
        <v>170</v>
      </c>
      <c r="S218" s="346"/>
      <c r="T218" s="340"/>
      <c r="U218" s="340"/>
      <c r="V218" s="340"/>
      <c r="W218" s="340"/>
    </row>
    <row r="220" spans="1:23" ht="18" customHeight="1">
      <c r="A220" s="197"/>
      <c r="B220" s="341"/>
      <c r="C220" s="342"/>
      <c r="D220" s="341"/>
      <c r="E220" s="343"/>
      <c r="F220" s="214" t="s">
        <v>234</v>
      </c>
      <c r="G220" s="344"/>
      <c r="H220" s="344"/>
      <c r="I220" s="344"/>
      <c r="J220" s="345"/>
      <c r="K220" s="346"/>
      <c r="L220" s="346"/>
      <c r="M220" s="346"/>
      <c r="N220" s="346"/>
      <c r="O220" s="346"/>
      <c r="P220" s="346"/>
      <c r="Q220" s="346"/>
      <c r="R220" s="346" t="s">
        <v>167</v>
      </c>
      <c r="S220" s="346"/>
      <c r="T220" s="340"/>
      <c r="U220" s="340"/>
      <c r="V220" s="340"/>
      <c r="W220" s="340"/>
    </row>
    <row r="221" spans="11:23" ht="20.25">
      <c r="K221" s="201"/>
      <c r="R221" s="202" t="s">
        <v>268</v>
      </c>
      <c r="S221" s="457">
        <v>11</v>
      </c>
      <c r="T221" s="204"/>
      <c r="U221" s="204"/>
      <c r="V221" s="204"/>
      <c r="W221" s="204"/>
    </row>
    <row r="222" spans="11:23" ht="20.25" hidden="1">
      <c r="K222" s="201"/>
      <c r="R222" s="928"/>
      <c r="S222" s="928"/>
      <c r="T222" s="928"/>
      <c r="U222" s="205"/>
      <c r="V222" s="205"/>
      <c r="W222" s="205"/>
    </row>
    <row r="223" spans="1:23" ht="20.25" customHeight="1">
      <c r="A223" s="197"/>
      <c r="B223" s="198"/>
      <c r="C223" s="199"/>
      <c r="D223" s="198"/>
      <c r="E223" s="198"/>
      <c r="F223" s="198"/>
      <c r="G223" s="200"/>
      <c r="H223" s="200"/>
      <c r="I223" s="200"/>
      <c r="J223" s="198"/>
      <c r="K223" s="201"/>
      <c r="L223" s="198"/>
      <c r="M223" s="198"/>
      <c r="N223" s="198"/>
      <c r="O223" s="198"/>
      <c r="P223" s="198"/>
      <c r="Q223" s="198"/>
      <c r="R223" s="929" t="s">
        <v>172</v>
      </c>
      <c r="S223" s="929"/>
      <c r="T223" s="929"/>
      <c r="U223" s="929"/>
      <c r="V223" s="929"/>
      <c r="W223" s="207"/>
    </row>
    <row r="224" spans="1:23" ht="39.75" customHeight="1">
      <c r="A224" s="197"/>
      <c r="B224" s="198"/>
      <c r="C224" s="199"/>
      <c r="D224" s="198"/>
      <c r="E224" s="198"/>
      <c r="F224" s="198"/>
      <c r="G224" s="200"/>
      <c r="H224" s="200"/>
      <c r="I224" s="200"/>
      <c r="J224" s="198"/>
      <c r="K224" s="201"/>
      <c r="L224" s="198"/>
      <c r="M224" s="198"/>
      <c r="N224" s="198"/>
      <c r="O224" s="198"/>
      <c r="P224" s="198"/>
      <c r="Q224" s="198"/>
      <c r="R224" s="930" t="s">
        <v>173</v>
      </c>
      <c r="S224" s="930"/>
      <c r="T224" s="930"/>
      <c r="U224" s="930"/>
      <c r="V224" s="930"/>
      <c r="W224" s="208"/>
    </row>
    <row r="225" spans="1:23" ht="21" customHeight="1">
      <c r="A225" s="197"/>
      <c r="B225" s="198"/>
      <c r="C225" s="199"/>
      <c r="D225" s="198"/>
      <c r="E225" s="198"/>
      <c r="F225" s="198"/>
      <c r="G225" s="200"/>
      <c r="H225" s="200"/>
      <c r="I225" s="200"/>
      <c r="J225" s="198"/>
      <c r="K225" s="198"/>
      <c r="L225" s="198"/>
      <c r="M225" s="204"/>
      <c r="N225" s="204"/>
      <c r="O225" s="204"/>
      <c r="P225" s="204"/>
      <c r="Q225" s="204"/>
      <c r="R225" s="931" t="s">
        <v>174</v>
      </c>
      <c r="S225" s="931"/>
      <c r="T225" s="931"/>
      <c r="U225" s="931"/>
      <c r="V225" s="931"/>
      <c r="W225" s="210"/>
    </row>
    <row r="226" spans="1:23" ht="41.25" customHeight="1">
      <c r="A226" s="197"/>
      <c r="B226" s="198"/>
      <c r="C226" s="199"/>
      <c r="D226" s="198"/>
      <c r="E226" s="198"/>
      <c r="F226" s="198"/>
      <c r="G226" s="200"/>
      <c r="H226" s="200"/>
      <c r="I226" s="200"/>
      <c r="J226" s="198"/>
      <c r="K226" s="198"/>
      <c r="L226" s="198"/>
      <c r="M226" s="198"/>
      <c r="N226" s="198"/>
      <c r="O226" s="198"/>
      <c r="P226" s="198"/>
      <c r="Q226" s="198"/>
      <c r="R226" s="929" t="s">
        <v>269</v>
      </c>
      <c r="S226" s="929"/>
      <c r="T226" s="929"/>
      <c r="U226" s="929"/>
      <c r="V226" s="929"/>
      <c r="W226" s="929"/>
    </row>
    <row r="227" spans="22:23" ht="27" customHeight="1">
      <c r="V227" s="458"/>
      <c r="W227" s="338"/>
    </row>
    <row r="228" spans="1:23" ht="15">
      <c r="A228" s="459"/>
      <c r="B228" s="1030" t="s">
        <v>176</v>
      </c>
      <c r="C228" s="1030"/>
      <c r="D228" s="1030"/>
      <c r="E228" s="1030"/>
      <c r="F228" s="1030"/>
      <c r="G228" s="1030"/>
      <c r="H228" s="1030"/>
      <c r="I228" s="1030"/>
      <c r="J228" s="1030"/>
      <c r="K228" s="1030"/>
      <c r="L228" s="1030"/>
      <c r="M228" s="202"/>
      <c r="N228" s="202"/>
      <c r="O228" s="202"/>
      <c r="P228" s="202"/>
      <c r="R228" s="204"/>
      <c r="S228" s="204"/>
      <c r="T228" s="204"/>
      <c r="U228" s="204"/>
      <c r="V228" s="338"/>
      <c r="W228" s="338"/>
    </row>
    <row r="229" spans="1:19" ht="42" customHeight="1">
      <c r="A229" s="1031" t="s">
        <v>270</v>
      </c>
      <c r="B229" s="1031"/>
      <c r="C229" s="1031"/>
      <c r="D229" s="1031"/>
      <c r="E229" s="1031"/>
      <c r="F229" s="1031"/>
      <c r="G229" s="1031"/>
      <c r="H229" s="1031"/>
      <c r="I229" s="1031"/>
      <c r="J229" s="1031"/>
      <c r="K229" s="1031"/>
      <c r="L229" s="1031"/>
      <c r="M229" s="1031"/>
      <c r="N229" s="1031"/>
      <c r="O229" s="1031"/>
      <c r="P229" s="1031"/>
      <c r="Q229" s="460"/>
      <c r="R229" s="460"/>
      <c r="S229" s="460"/>
    </row>
    <row r="230" spans="2:23" ht="13.5" hidden="1">
      <c r="B230" s="204"/>
      <c r="C230" s="217"/>
      <c r="D230" s="204"/>
      <c r="E230" s="204"/>
      <c r="F230" s="204"/>
      <c r="G230" s="218"/>
      <c r="H230" s="218"/>
      <c r="I230" s="218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</row>
    <row r="231" spans="2:23" ht="13.5">
      <c r="B231" s="352" t="s">
        <v>271</v>
      </c>
      <c r="C231" s="351"/>
      <c r="D231" s="352"/>
      <c r="E231" s="204"/>
      <c r="F231" s="204"/>
      <c r="G231" s="218"/>
      <c r="H231" s="218"/>
      <c r="I231" s="218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</row>
    <row r="232" spans="2:23" ht="14.25" customHeight="1" hidden="1">
      <c r="B232" s="204"/>
      <c r="C232" s="217"/>
      <c r="D232" s="204"/>
      <c r="E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</row>
    <row r="233" spans="2:23" ht="18.75" customHeight="1" hidden="1">
      <c r="B233" s="204"/>
      <c r="C233" s="217"/>
      <c r="D233" s="204"/>
      <c r="E233" s="204"/>
      <c r="F233" s="204"/>
      <c r="G233" s="218"/>
      <c r="H233" s="218"/>
      <c r="I233" s="218"/>
      <c r="J233" s="204"/>
      <c r="R233" s="204"/>
      <c r="S233" s="204"/>
      <c r="T233" s="204"/>
      <c r="U233" s="204"/>
      <c r="V233" s="204"/>
      <c r="W233" s="204"/>
    </row>
    <row r="234" spans="1:23" ht="12.75" customHeight="1">
      <c r="A234" s="1003" t="s">
        <v>0</v>
      </c>
      <c r="B234" s="461" t="s">
        <v>1</v>
      </c>
      <c r="C234" s="937" t="s">
        <v>117</v>
      </c>
      <c r="D234" s="937" t="s">
        <v>184</v>
      </c>
      <c r="E234" s="462" t="s">
        <v>2</v>
      </c>
      <c r="F234" s="1032" t="s">
        <v>272</v>
      </c>
      <c r="G234" s="1032" t="s">
        <v>35</v>
      </c>
      <c r="H234" s="1033" t="s">
        <v>58</v>
      </c>
      <c r="I234" s="1012" t="s">
        <v>39</v>
      </c>
      <c r="J234" s="1034" t="s">
        <v>33</v>
      </c>
      <c r="K234" s="1034"/>
      <c r="L234" s="1034"/>
      <c r="M234" s="1034"/>
      <c r="N234" s="463"/>
      <c r="O234" s="1035" t="s">
        <v>5</v>
      </c>
      <c r="P234" s="1035"/>
      <c r="Q234" s="1035"/>
      <c r="R234" s="1035"/>
      <c r="S234" s="1035"/>
      <c r="T234" s="1035"/>
      <c r="U234" s="1035"/>
      <c r="V234" s="1036" t="s">
        <v>273</v>
      </c>
      <c r="W234" s="1036" t="s">
        <v>239</v>
      </c>
    </row>
    <row r="235" spans="1:23" ht="12.75" customHeight="1">
      <c r="A235" s="1004"/>
      <c r="B235" s="464" t="s">
        <v>186</v>
      </c>
      <c r="C235" s="938"/>
      <c r="D235" s="938"/>
      <c r="E235" s="464" t="s">
        <v>3</v>
      </c>
      <c r="F235" s="1032"/>
      <c r="G235" s="1032"/>
      <c r="H235" s="1033"/>
      <c r="I235" s="1013"/>
      <c r="J235" s="1039" t="s">
        <v>187</v>
      </c>
      <c r="K235" s="1041" t="s">
        <v>274</v>
      </c>
      <c r="L235" s="948" t="s">
        <v>275</v>
      </c>
      <c r="M235" s="1044" t="s">
        <v>276</v>
      </c>
      <c r="N235" s="465"/>
      <c r="O235" s="962" t="s">
        <v>192</v>
      </c>
      <c r="P235" s="962" t="s">
        <v>193</v>
      </c>
      <c r="Q235" s="963" t="s">
        <v>277</v>
      </c>
      <c r="R235" s="1045" t="s">
        <v>244</v>
      </c>
      <c r="S235" s="948" t="s">
        <v>20</v>
      </c>
      <c r="T235" s="1048" t="s">
        <v>51</v>
      </c>
      <c r="U235" s="1051" t="s">
        <v>278</v>
      </c>
      <c r="V235" s="1037"/>
      <c r="W235" s="1037"/>
    </row>
    <row r="236" spans="1:23" ht="13.5">
      <c r="A236" s="1004"/>
      <c r="B236" s="464"/>
      <c r="C236" s="938"/>
      <c r="D236" s="938"/>
      <c r="E236" s="464" t="s">
        <v>4</v>
      </c>
      <c r="F236" s="1032"/>
      <c r="G236" s="1032"/>
      <c r="H236" s="1033"/>
      <c r="I236" s="1013"/>
      <c r="J236" s="1039"/>
      <c r="K236" s="1042"/>
      <c r="L236" s="949"/>
      <c r="M236" s="1042"/>
      <c r="N236" s="466"/>
      <c r="O236" s="962"/>
      <c r="P236" s="962"/>
      <c r="Q236" s="964"/>
      <c r="R236" s="1046"/>
      <c r="S236" s="949"/>
      <c r="T236" s="1049"/>
      <c r="U236" s="1051"/>
      <c r="V236" s="1037"/>
      <c r="W236" s="1037"/>
    </row>
    <row r="237" spans="1:23" ht="13.5">
      <c r="A237" s="1004"/>
      <c r="B237" s="464"/>
      <c r="C237" s="938"/>
      <c r="D237" s="938"/>
      <c r="E237" s="464"/>
      <c r="F237" s="1032"/>
      <c r="G237" s="1032"/>
      <c r="H237" s="1033"/>
      <c r="I237" s="1013"/>
      <c r="J237" s="1039"/>
      <c r="K237" s="1042"/>
      <c r="L237" s="949"/>
      <c r="M237" s="1042"/>
      <c r="N237" s="466"/>
      <c r="O237" s="962"/>
      <c r="P237" s="962"/>
      <c r="Q237" s="964"/>
      <c r="R237" s="1046"/>
      <c r="S237" s="949"/>
      <c r="T237" s="1049"/>
      <c r="U237" s="1051"/>
      <c r="V237" s="1037"/>
      <c r="W237" s="1037"/>
    </row>
    <row r="238" spans="1:23" ht="124.5" customHeight="1">
      <c r="A238" s="1005"/>
      <c r="B238" s="467"/>
      <c r="C238" s="939"/>
      <c r="D238" s="939"/>
      <c r="E238" s="468"/>
      <c r="F238" s="1032"/>
      <c r="G238" s="1032"/>
      <c r="H238" s="1033"/>
      <c r="I238" s="1014"/>
      <c r="J238" s="1040"/>
      <c r="K238" s="1043"/>
      <c r="L238" s="950"/>
      <c r="M238" s="1043"/>
      <c r="N238" s="469" t="s">
        <v>191</v>
      </c>
      <c r="O238" s="962"/>
      <c r="P238" s="962"/>
      <c r="Q238" s="965"/>
      <c r="R238" s="1047"/>
      <c r="S238" s="950"/>
      <c r="T238" s="1050"/>
      <c r="U238" s="1051"/>
      <c r="V238" s="1038"/>
      <c r="W238" s="1038"/>
    </row>
    <row r="239" spans="1:23" ht="20.25" customHeight="1">
      <c r="A239" s="228">
        <v>1</v>
      </c>
      <c r="B239" s="298" t="s">
        <v>197</v>
      </c>
      <c r="C239" s="299" t="s">
        <v>118</v>
      </c>
      <c r="D239" s="298"/>
      <c r="E239" s="358">
        <v>1</v>
      </c>
      <c r="F239" s="470">
        <v>8679</v>
      </c>
      <c r="G239" s="471">
        <v>17</v>
      </c>
      <c r="H239" s="431">
        <f>F239*E239</f>
        <v>8679</v>
      </c>
      <c r="I239" s="431">
        <f>H239*10%</f>
        <v>867.9000000000001</v>
      </c>
      <c r="J239" s="237">
        <f>(H239+I239+M239+N239)*30%</f>
        <v>3384.8099999999995</v>
      </c>
      <c r="K239" s="432">
        <f>(H239+I239+N239+M239)*20%</f>
        <v>2256.54</v>
      </c>
      <c r="L239" s="237"/>
      <c r="M239" s="237">
        <v>1735.8</v>
      </c>
      <c r="N239" s="237"/>
      <c r="O239" s="237"/>
      <c r="P239" s="237"/>
      <c r="Q239" s="237"/>
      <c r="R239" s="237"/>
      <c r="S239" s="237"/>
      <c r="T239" s="472"/>
      <c r="U239" s="237"/>
      <c r="V239" s="388"/>
      <c r="W239" s="237">
        <f>H239+I239+J239+K239+L239+M239+N239+O239+P239+Q239+R239+S239+T239+U239+V239</f>
        <v>16924.05</v>
      </c>
    </row>
    <row r="240" spans="1:23" ht="13.5" hidden="1">
      <c r="A240" s="254">
        <v>2</v>
      </c>
      <c r="B240" s="374"/>
      <c r="C240" s="311"/>
      <c r="D240" s="374"/>
      <c r="E240" s="369"/>
      <c r="F240" s="473"/>
      <c r="G240" s="474"/>
      <c r="H240" s="475">
        <f aca="true" t="shared" si="25" ref="H240:H273">F240*E240</f>
        <v>0</v>
      </c>
      <c r="I240" s="475">
        <f aca="true" t="shared" si="26" ref="I240:I252">H240*10%</f>
        <v>0</v>
      </c>
      <c r="J240" s="315">
        <f>(H240+I240+M240+N240)*20%</f>
        <v>0</v>
      </c>
      <c r="K240" s="476">
        <f>(H240+I240+N240+M240)*20%</f>
        <v>0</v>
      </c>
      <c r="L240" s="315"/>
      <c r="M240" s="316"/>
      <c r="N240" s="316"/>
      <c r="O240" s="316"/>
      <c r="P240" s="316"/>
      <c r="Q240" s="316"/>
      <c r="R240" s="316"/>
      <c r="S240" s="316"/>
      <c r="T240" s="395"/>
      <c r="U240" s="316"/>
      <c r="V240" s="477">
        <f>4173*E240-H240-I240-J240-K240-L240-M240-N240-O240-P240-Q240</f>
        <v>0</v>
      </c>
      <c r="W240" s="315">
        <f aca="true" t="shared" si="27" ref="W240:W273">H240+I240+J240+K240+L240+M240+N240+O240+P240+Q240+R240+S240+T240+U240+V240</f>
        <v>0</v>
      </c>
    </row>
    <row r="241" spans="1:23" ht="33" customHeight="1">
      <c r="A241" s="240">
        <v>2</v>
      </c>
      <c r="B241" s="300" t="s">
        <v>279</v>
      </c>
      <c r="C241" s="301" t="s">
        <v>118</v>
      </c>
      <c r="D241" s="300"/>
      <c r="E241" s="391">
        <v>2</v>
      </c>
      <c r="F241" s="478">
        <f>F239*95%</f>
        <v>8245.05</v>
      </c>
      <c r="G241" s="479" t="s">
        <v>280</v>
      </c>
      <c r="H241" s="431">
        <f t="shared" si="25"/>
        <v>16490.1</v>
      </c>
      <c r="I241" s="431">
        <f t="shared" si="26"/>
        <v>1649.01</v>
      </c>
      <c r="J241" s="480">
        <f>1813.91+3215.57</f>
        <v>5029.4800000000005</v>
      </c>
      <c r="K241" s="234">
        <f>2143.71+1360.43</f>
        <v>3504.1400000000003</v>
      </c>
      <c r="L241" s="480"/>
      <c r="M241" s="481">
        <v>1649.01</v>
      </c>
      <c r="N241" s="481"/>
      <c r="O241" s="481"/>
      <c r="P241" s="481"/>
      <c r="Q241" s="481"/>
      <c r="R241" s="481"/>
      <c r="S241" s="481"/>
      <c r="T241" s="482"/>
      <c r="U241" s="481"/>
      <c r="V241" s="483"/>
      <c r="W241" s="480">
        <f>H241+I241+J241+K241+L241+M241+N241+O241+P241+Q241+R241+S241+T241+U241+V241</f>
        <v>28321.739999999994</v>
      </c>
    </row>
    <row r="242" spans="1:23" ht="12.75" customHeight="1" hidden="1">
      <c r="A242" s="254">
        <v>3</v>
      </c>
      <c r="B242" s="309" t="s">
        <v>281</v>
      </c>
      <c r="C242" s="310"/>
      <c r="D242" s="309"/>
      <c r="E242" s="391"/>
      <c r="F242" s="484">
        <f>F240*95%</f>
        <v>0</v>
      </c>
      <c r="G242" s="485"/>
      <c r="H242" s="475">
        <f t="shared" si="25"/>
        <v>0</v>
      </c>
      <c r="I242" s="475">
        <f t="shared" si="26"/>
        <v>0</v>
      </c>
      <c r="J242" s="315">
        <f>(H242+I242+M242+N242)*20%</f>
        <v>0</v>
      </c>
      <c r="K242" s="476">
        <f>(H242+I242+N242+M242)*20%</f>
        <v>0</v>
      </c>
      <c r="L242" s="315">
        <f>F242*5%</f>
        <v>0</v>
      </c>
      <c r="M242" s="316"/>
      <c r="N242" s="316"/>
      <c r="O242" s="316"/>
      <c r="P242" s="316"/>
      <c r="Q242" s="316"/>
      <c r="R242" s="316"/>
      <c r="S242" s="316"/>
      <c r="T242" s="395"/>
      <c r="U242" s="439"/>
      <c r="V242" s="486">
        <f>4173*E242-H242-I242-J242-K242-L242-M242-N242-O242-P242-Q242</f>
        <v>0</v>
      </c>
      <c r="W242" s="315">
        <f t="shared" si="27"/>
        <v>0</v>
      </c>
    </row>
    <row r="243" spans="1:23" ht="36.75" customHeight="1">
      <c r="A243" s="240">
        <v>3</v>
      </c>
      <c r="B243" s="267" t="s">
        <v>282</v>
      </c>
      <c r="C243" s="221" t="s">
        <v>118</v>
      </c>
      <c r="D243" s="267"/>
      <c r="E243" s="391">
        <v>1</v>
      </c>
      <c r="F243" s="478">
        <f>F239*95%</f>
        <v>8245.05</v>
      </c>
      <c r="G243" s="479" t="s">
        <v>280</v>
      </c>
      <c r="H243" s="431">
        <f t="shared" si="25"/>
        <v>8245.05</v>
      </c>
      <c r="I243" s="431">
        <f t="shared" si="26"/>
        <v>824.505</v>
      </c>
      <c r="J243" s="480">
        <f>(H243+I243+M243+N243)*10%</f>
        <v>906.9554999999999</v>
      </c>
      <c r="K243" s="234">
        <f>(H243+I243+N243+M243)*15%</f>
        <v>1360.4332499999998</v>
      </c>
      <c r="L243" s="480"/>
      <c r="M243" s="481"/>
      <c r="N243" s="481"/>
      <c r="O243" s="481"/>
      <c r="P243" s="481"/>
      <c r="Q243" s="481"/>
      <c r="R243" s="481"/>
      <c r="S243" s="481"/>
      <c r="T243" s="482"/>
      <c r="U243" s="481"/>
      <c r="V243" s="483"/>
      <c r="W243" s="480">
        <f t="shared" si="27"/>
        <v>11336.943749999999</v>
      </c>
    </row>
    <row r="244" spans="1:23" ht="20.25" customHeight="1">
      <c r="A244" s="240">
        <v>4</v>
      </c>
      <c r="B244" s="300" t="s">
        <v>201</v>
      </c>
      <c r="C244" s="301" t="s">
        <v>121</v>
      </c>
      <c r="D244" s="300"/>
      <c r="E244" s="248">
        <v>0.75</v>
      </c>
      <c r="F244" s="237">
        <v>5265</v>
      </c>
      <c r="G244" s="487" t="s">
        <v>54</v>
      </c>
      <c r="H244" s="431">
        <f t="shared" si="25"/>
        <v>3948.75</v>
      </c>
      <c r="I244" s="431">
        <f t="shared" si="26"/>
        <v>394.875</v>
      </c>
      <c r="J244" s="237"/>
      <c r="K244" s="432">
        <f>(H244+I244+N244+M244)*15%</f>
        <v>651.5437499999999</v>
      </c>
      <c r="L244" s="248"/>
      <c r="M244" s="248"/>
      <c r="N244" s="248"/>
      <c r="O244" s="248"/>
      <c r="P244" s="248"/>
      <c r="Q244" s="248"/>
      <c r="R244" s="248"/>
      <c r="S244" s="248"/>
      <c r="T244" s="330"/>
      <c r="U244" s="248"/>
      <c r="V244" s="388"/>
      <c r="W244" s="237">
        <f t="shared" si="27"/>
        <v>4995.16875</v>
      </c>
    </row>
    <row r="245" spans="1:23" ht="18" customHeight="1">
      <c r="A245" s="240">
        <v>5</v>
      </c>
      <c r="B245" s="300" t="s">
        <v>204</v>
      </c>
      <c r="C245" s="301" t="s">
        <v>205</v>
      </c>
      <c r="D245" s="300"/>
      <c r="E245" s="369">
        <v>1</v>
      </c>
      <c r="F245" s="237">
        <v>7001</v>
      </c>
      <c r="G245" s="487" t="s">
        <v>42</v>
      </c>
      <c r="H245" s="431">
        <f t="shared" si="25"/>
        <v>7001</v>
      </c>
      <c r="I245" s="431">
        <f t="shared" si="26"/>
        <v>700.1</v>
      </c>
      <c r="J245" s="237">
        <f>(H245+I245+M245+N245)*30%</f>
        <v>2310.33</v>
      </c>
      <c r="K245" s="432">
        <f>(H245+I245+N245+M245)*15%</f>
        <v>1155.165</v>
      </c>
      <c r="L245" s="248"/>
      <c r="M245" s="248"/>
      <c r="N245" s="248"/>
      <c r="O245" s="248"/>
      <c r="P245" s="248"/>
      <c r="Q245" s="248"/>
      <c r="R245" s="248"/>
      <c r="S245" s="248"/>
      <c r="T245" s="330"/>
      <c r="U245" s="248"/>
      <c r="V245" s="388"/>
      <c r="W245" s="237">
        <f t="shared" si="27"/>
        <v>11166.595000000001</v>
      </c>
    </row>
    <row r="246" spans="1:23" ht="24.75" customHeight="1">
      <c r="A246" s="240">
        <v>6</v>
      </c>
      <c r="B246" s="303" t="s">
        <v>202</v>
      </c>
      <c r="C246" s="302">
        <v>2340</v>
      </c>
      <c r="D246" s="300"/>
      <c r="E246" s="488">
        <v>0.75</v>
      </c>
      <c r="F246" s="234">
        <v>5699</v>
      </c>
      <c r="G246" s="487" t="s">
        <v>53</v>
      </c>
      <c r="H246" s="431">
        <f t="shared" si="25"/>
        <v>4274.25</v>
      </c>
      <c r="I246" s="431">
        <f t="shared" si="26"/>
        <v>427.425</v>
      </c>
      <c r="J246" s="480">
        <f>(H246+I246+M246+N246)*10%</f>
        <v>470.1675</v>
      </c>
      <c r="K246" s="234">
        <f>(H246+I246+N246+M246)*15%</f>
        <v>705.25125</v>
      </c>
      <c r="L246" s="489"/>
      <c r="M246" s="489"/>
      <c r="N246" s="489"/>
      <c r="O246" s="489"/>
      <c r="P246" s="489"/>
      <c r="Q246" s="489"/>
      <c r="R246" s="489"/>
      <c r="S246" s="489"/>
      <c r="T246" s="490"/>
      <c r="U246" s="489"/>
      <c r="V246" s="491"/>
      <c r="W246" s="366">
        <f>H246+I246+J246+K246+L246+M246+N246+O246+P246+Q246+R246+S246+T246+U246+V246</f>
        <v>5877.093750000001</v>
      </c>
    </row>
    <row r="247" spans="1:23" ht="51" customHeight="1">
      <c r="A247" s="240">
        <v>7</v>
      </c>
      <c r="B247" s="252" t="s">
        <v>203</v>
      </c>
      <c r="C247" s="253">
        <v>3330</v>
      </c>
      <c r="D247" s="300"/>
      <c r="E247" s="488">
        <v>1</v>
      </c>
      <c r="F247" s="234">
        <v>5699</v>
      </c>
      <c r="G247" s="487" t="s">
        <v>53</v>
      </c>
      <c r="H247" s="431">
        <f>F247*E247</f>
        <v>5699</v>
      </c>
      <c r="I247" s="431">
        <f t="shared" si="26"/>
        <v>569.9</v>
      </c>
      <c r="J247" s="480">
        <f>(H247+I247+M247+N247)*10%</f>
        <v>740.87</v>
      </c>
      <c r="K247" s="234">
        <v>1481.74</v>
      </c>
      <c r="L247" s="489"/>
      <c r="M247" s="489">
        <v>1139.8</v>
      </c>
      <c r="N247" s="489"/>
      <c r="O247" s="489"/>
      <c r="P247" s="489"/>
      <c r="Q247" s="489"/>
      <c r="R247" s="489"/>
      <c r="S247" s="489"/>
      <c r="T247" s="490"/>
      <c r="U247" s="489"/>
      <c r="V247" s="491"/>
      <c r="W247" s="366">
        <f>H247+I247+J247+K247+L247+M247+N247+O247+P247+Q247+R247+S247+T247+U247+V247</f>
        <v>9631.31</v>
      </c>
    </row>
    <row r="248" spans="1:23" ht="49.5" customHeight="1">
      <c r="A248" s="240">
        <v>8</v>
      </c>
      <c r="B248" s="252" t="s">
        <v>203</v>
      </c>
      <c r="C248" s="253">
        <v>3330</v>
      </c>
      <c r="D248" s="252"/>
      <c r="E248" s="492">
        <v>3</v>
      </c>
      <c r="F248" s="234">
        <v>5265</v>
      </c>
      <c r="G248" s="487" t="s">
        <v>54</v>
      </c>
      <c r="H248" s="431">
        <f>F248*E248</f>
        <v>15795</v>
      </c>
      <c r="I248" s="431">
        <f t="shared" si="26"/>
        <v>1579.5</v>
      </c>
      <c r="J248" s="480">
        <v>2053.35</v>
      </c>
      <c r="K248" s="234">
        <v>4106.7</v>
      </c>
      <c r="L248" s="489"/>
      <c r="M248" s="489">
        <v>3159</v>
      </c>
      <c r="N248" s="489"/>
      <c r="O248" s="489"/>
      <c r="P248" s="489"/>
      <c r="Q248" s="489"/>
      <c r="R248" s="489"/>
      <c r="S248" s="489"/>
      <c r="T248" s="490"/>
      <c r="U248" s="489"/>
      <c r="V248" s="491"/>
      <c r="W248" s="366">
        <f t="shared" si="27"/>
        <v>26693.55</v>
      </c>
    </row>
    <row r="249" spans="1:23" ht="17.25" customHeight="1">
      <c r="A249" s="240">
        <v>9</v>
      </c>
      <c r="B249" s="300" t="s">
        <v>206</v>
      </c>
      <c r="C249" s="301">
        <v>3340</v>
      </c>
      <c r="D249" s="300"/>
      <c r="E249" s="369">
        <v>1</v>
      </c>
      <c r="F249" s="237">
        <v>6133</v>
      </c>
      <c r="G249" s="285">
        <v>12</v>
      </c>
      <c r="H249" s="431">
        <f t="shared" si="25"/>
        <v>6133</v>
      </c>
      <c r="I249" s="431">
        <f t="shared" si="26"/>
        <v>613.3000000000001</v>
      </c>
      <c r="J249" s="237">
        <v>1349.26</v>
      </c>
      <c r="K249" s="432">
        <v>1011.95</v>
      </c>
      <c r="L249" s="248"/>
      <c r="M249" s="248"/>
      <c r="N249" s="248"/>
      <c r="O249" s="248"/>
      <c r="P249" s="248"/>
      <c r="Q249" s="248"/>
      <c r="R249" s="248"/>
      <c r="S249" s="248"/>
      <c r="T249" s="330"/>
      <c r="U249" s="248"/>
      <c r="V249" s="388"/>
      <c r="W249" s="237">
        <f t="shared" si="27"/>
        <v>9107.51</v>
      </c>
    </row>
    <row r="250" spans="1:23" ht="16.5" customHeight="1">
      <c r="A250" s="268">
        <v>10</v>
      </c>
      <c r="B250" s="300" t="s">
        <v>206</v>
      </c>
      <c r="C250" s="362">
        <v>3340</v>
      </c>
      <c r="D250" s="493"/>
      <c r="E250" s="442">
        <v>1</v>
      </c>
      <c r="F250" s="248">
        <v>5265</v>
      </c>
      <c r="G250" s="304">
        <v>10</v>
      </c>
      <c r="H250" s="431">
        <f t="shared" si="25"/>
        <v>5265</v>
      </c>
      <c r="I250" s="431">
        <f t="shared" si="26"/>
        <v>526.5</v>
      </c>
      <c r="J250" s="237">
        <v>1737.45</v>
      </c>
      <c r="K250" s="432">
        <v>868.73</v>
      </c>
      <c r="L250" s="248"/>
      <c r="M250" s="248"/>
      <c r="N250" s="248"/>
      <c r="O250" s="248"/>
      <c r="P250" s="248"/>
      <c r="Q250" s="248"/>
      <c r="R250" s="297"/>
      <c r="S250" s="297"/>
      <c r="T250" s="494"/>
      <c r="U250" s="297"/>
      <c r="V250" s="388"/>
      <c r="W250" s="237">
        <f>H250+I250+J250+K250+L250+M250+N250+O250+P250+Q250+R250+S250+T250+U250+V250</f>
        <v>8397.68</v>
      </c>
    </row>
    <row r="251" spans="1:23" ht="18" customHeight="1">
      <c r="A251" s="268">
        <v>11</v>
      </c>
      <c r="B251" s="300" t="s">
        <v>206</v>
      </c>
      <c r="C251" s="362">
        <v>3340</v>
      </c>
      <c r="D251" s="493"/>
      <c r="E251" s="442">
        <v>0.5</v>
      </c>
      <c r="F251" s="248">
        <v>5699</v>
      </c>
      <c r="G251" s="495" t="s">
        <v>53</v>
      </c>
      <c r="H251" s="431">
        <f t="shared" si="25"/>
        <v>2849.5</v>
      </c>
      <c r="I251" s="431">
        <f t="shared" si="26"/>
        <v>284.95</v>
      </c>
      <c r="J251" s="237">
        <v>313.45</v>
      </c>
      <c r="K251" s="432">
        <v>470.17</v>
      </c>
      <c r="L251" s="248"/>
      <c r="M251" s="248"/>
      <c r="N251" s="248"/>
      <c r="O251" s="248"/>
      <c r="P251" s="248"/>
      <c r="Q251" s="248"/>
      <c r="R251" s="297"/>
      <c r="S251" s="297"/>
      <c r="T251" s="494"/>
      <c r="U251" s="297"/>
      <c r="V251" s="388"/>
      <c r="W251" s="237">
        <f t="shared" si="27"/>
        <v>3918.0699999999997</v>
      </c>
    </row>
    <row r="252" spans="1:23" ht="60.75" customHeight="1" hidden="1">
      <c r="A252" s="268"/>
      <c r="B252" s="252"/>
      <c r="C252" s="496"/>
      <c r="D252" s="497"/>
      <c r="E252" s="498"/>
      <c r="F252" s="480"/>
      <c r="G252" s="487" t="s">
        <v>54</v>
      </c>
      <c r="H252" s="431">
        <f t="shared" si="25"/>
        <v>0</v>
      </c>
      <c r="I252" s="431">
        <f t="shared" si="26"/>
        <v>0</v>
      </c>
      <c r="J252" s="480">
        <f>(H252+M252+N252)*10%</f>
        <v>0</v>
      </c>
      <c r="K252" s="234">
        <f>(H252+I252+N252+M252)*20%</f>
        <v>0</v>
      </c>
      <c r="L252" s="248"/>
      <c r="M252" s="320">
        <f>H252*20%</f>
        <v>0</v>
      </c>
      <c r="N252" s="248"/>
      <c r="O252" s="248"/>
      <c r="P252" s="248"/>
      <c r="Q252" s="248"/>
      <c r="R252" s="297"/>
      <c r="S252" s="297"/>
      <c r="T252" s="494"/>
      <c r="U252" s="297"/>
      <c r="V252" s="388"/>
      <c r="W252" s="480">
        <f t="shared" si="27"/>
        <v>0</v>
      </c>
    </row>
    <row r="253" spans="1:23" ht="20.25" customHeight="1">
      <c r="A253" s="268">
        <v>12</v>
      </c>
      <c r="B253" s="300" t="s">
        <v>231</v>
      </c>
      <c r="C253" s="301" t="s">
        <v>211</v>
      </c>
      <c r="D253" s="300"/>
      <c r="E253" s="369">
        <v>1</v>
      </c>
      <c r="F253" s="237">
        <v>5265</v>
      </c>
      <c r="G253" s="286">
        <v>10</v>
      </c>
      <c r="H253" s="431">
        <f>F253*E253</f>
        <v>5265</v>
      </c>
      <c r="I253" s="431">
        <f>H253*10%</f>
        <v>526.5</v>
      </c>
      <c r="J253" s="248">
        <v>579.15</v>
      </c>
      <c r="K253" s="248">
        <f>(H253+I253)*15%</f>
        <v>868.725</v>
      </c>
      <c r="L253" s="248"/>
      <c r="M253" s="248"/>
      <c r="N253" s="248"/>
      <c r="O253" s="248"/>
      <c r="P253" s="248"/>
      <c r="Q253" s="248"/>
      <c r="R253" s="290"/>
      <c r="S253" s="248"/>
      <c r="T253" s="330"/>
      <c r="U253" s="248"/>
      <c r="V253" s="388"/>
      <c r="W253" s="237">
        <f>H253+I253+J253+K253+L253+M253+N253+O253+P253+Q253+R253+S253+T253+U253+V253</f>
        <v>7239.375</v>
      </c>
    </row>
    <row r="254" spans="1:23" ht="18.75" customHeight="1" thickBot="1">
      <c r="A254" s="268">
        <v>13</v>
      </c>
      <c r="B254" s="493" t="s">
        <v>208</v>
      </c>
      <c r="C254" s="362">
        <v>2320</v>
      </c>
      <c r="D254" s="493"/>
      <c r="E254" s="364">
        <v>41.25</v>
      </c>
      <c r="F254" s="499"/>
      <c r="G254" s="500"/>
      <c r="H254" s="431">
        <v>300958.34</v>
      </c>
      <c r="I254" s="501">
        <v>30095.83</v>
      </c>
      <c r="J254" s="499">
        <v>75175.55</v>
      </c>
      <c r="K254" s="499">
        <v>55647.9</v>
      </c>
      <c r="L254" s="499"/>
      <c r="M254" s="499"/>
      <c r="N254" s="499"/>
      <c r="O254" s="499">
        <v>29395.28</v>
      </c>
      <c r="P254" s="499">
        <v>38953.97</v>
      </c>
      <c r="Q254" s="499">
        <v>722.38</v>
      </c>
      <c r="R254" s="502"/>
      <c r="S254" s="502"/>
      <c r="T254" s="503"/>
      <c r="U254" s="502"/>
      <c r="V254" s="491"/>
      <c r="W254" s="504">
        <f>H254+I254+J254+K254+L254+M254+N254+O254+P254+Q254+R254+S254+T254+U254+V254</f>
        <v>530949.25</v>
      </c>
    </row>
    <row r="255" spans="1:23" ht="15.75" customHeight="1" thickBot="1">
      <c r="A255" s="505"/>
      <c r="B255" s="280" t="s">
        <v>265</v>
      </c>
      <c r="C255" s="281"/>
      <c r="D255" s="280"/>
      <c r="E255" s="385">
        <f>E239+E241+E243+E244+E245+E246+E248+E249+E250+E251+E254+E253+E252+E247</f>
        <v>55.25</v>
      </c>
      <c r="F255" s="385"/>
      <c r="G255" s="385"/>
      <c r="H255" s="385">
        <f>H239+H241+H243+H244+H245+H246+H248+H249+H250+H251+H254+H253+H252+H247</f>
        <v>390602.99</v>
      </c>
      <c r="I255" s="385">
        <f>I239+I241+I243+I244+I245+I246+I248+I249+I250+I251+I254+I253+I252+I247</f>
        <v>39060.295000000006</v>
      </c>
      <c r="J255" s="385">
        <f>J239+J241+J243+J244+J245+J246+J248+J249+J250+J251+J254+J253+J252+J247</f>
        <v>94050.82299999999</v>
      </c>
      <c r="K255" s="385">
        <f>K239+K241+K243+K244+K245+K246+K248+K249+K250+K251+K254+K253+K252+K247</f>
        <v>74088.98825000001</v>
      </c>
      <c r="L255" s="385">
        <f aca="true" t="shared" si="28" ref="L255:V255">L239+L241+L243+L244+L245+L246+L248+L249+L250+L251+L254+L253+L252+L247</f>
        <v>0</v>
      </c>
      <c r="M255" s="385">
        <f t="shared" si="28"/>
        <v>7683.61</v>
      </c>
      <c r="N255" s="385">
        <f t="shared" si="28"/>
        <v>0</v>
      </c>
      <c r="O255" s="385">
        <f t="shared" si="28"/>
        <v>29395.28</v>
      </c>
      <c r="P255" s="385">
        <f t="shared" si="28"/>
        <v>38953.97</v>
      </c>
      <c r="Q255" s="385">
        <f t="shared" si="28"/>
        <v>722.38</v>
      </c>
      <c r="R255" s="385">
        <f t="shared" si="28"/>
        <v>0</v>
      </c>
      <c r="S255" s="385">
        <f t="shared" si="28"/>
        <v>0</v>
      </c>
      <c r="T255" s="385">
        <f t="shared" si="28"/>
        <v>0</v>
      </c>
      <c r="U255" s="385">
        <f t="shared" si="28"/>
        <v>0</v>
      </c>
      <c r="V255" s="385">
        <f t="shared" si="28"/>
        <v>0</v>
      </c>
      <c r="W255" s="385">
        <f>W239+W241+W243+W244+W245+W246+W248+W249+W250+W251+W254+W253+W252+W247</f>
        <v>674558.33625</v>
      </c>
    </row>
    <row r="256" spans="1:23" ht="23.25" customHeight="1">
      <c r="A256" s="228">
        <v>14</v>
      </c>
      <c r="B256" s="506" t="s">
        <v>210</v>
      </c>
      <c r="C256" s="365" t="s">
        <v>211</v>
      </c>
      <c r="D256" s="506"/>
      <c r="E256" s="358">
        <v>1</v>
      </c>
      <c r="F256" s="387">
        <v>6133</v>
      </c>
      <c r="G256" s="507">
        <v>12</v>
      </c>
      <c r="H256" s="508">
        <f t="shared" si="25"/>
        <v>6133</v>
      </c>
      <c r="I256" s="431"/>
      <c r="J256" s="237">
        <f>F256*30%</f>
        <v>1839.8999999999999</v>
      </c>
      <c r="K256" s="237"/>
      <c r="L256" s="237">
        <f>F256*15%</f>
        <v>919.9499999999999</v>
      </c>
      <c r="M256" s="237"/>
      <c r="N256" s="237"/>
      <c r="O256" s="237"/>
      <c r="P256" s="237"/>
      <c r="Q256" s="237"/>
      <c r="R256" s="237"/>
      <c r="S256" s="237"/>
      <c r="T256" s="472"/>
      <c r="U256" s="237"/>
      <c r="V256" s="388"/>
      <c r="W256" s="237">
        <f>H256+I256+J256+K256+L256+M256+N256+O256+P256+Q256+R256+S256+T256+U256+V256</f>
        <v>8892.85</v>
      </c>
    </row>
    <row r="257" spans="1:23" ht="27.75" customHeight="1" hidden="1">
      <c r="A257" s="240">
        <v>9</v>
      </c>
      <c r="B257" s="300" t="s">
        <v>213</v>
      </c>
      <c r="C257" s="301"/>
      <c r="D257" s="300"/>
      <c r="E257" s="369"/>
      <c r="F257" s="387"/>
      <c r="G257" s="487">
        <v>9</v>
      </c>
      <c r="H257" s="431">
        <f t="shared" si="25"/>
        <v>0</v>
      </c>
      <c r="I257" s="431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330"/>
      <c r="U257" s="248"/>
      <c r="V257" s="388"/>
      <c r="W257" s="237">
        <f t="shared" si="27"/>
        <v>0</v>
      </c>
    </row>
    <row r="258" spans="1:23" ht="31.5" customHeight="1">
      <c r="A258" s="240">
        <v>15</v>
      </c>
      <c r="B258" s="509" t="s">
        <v>283</v>
      </c>
      <c r="C258" s="221">
        <v>1239</v>
      </c>
      <c r="D258" s="509"/>
      <c r="E258" s="369">
        <v>1</v>
      </c>
      <c r="F258" s="387">
        <f>F239*85%</f>
        <v>7377.15</v>
      </c>
      <c r="G258" s="479" t="s">
        <v>85</v>
      </c>
      <c r="H258" s="431">
        <f t="shared" si="25"/>
        <v>7377.15</v>
      </c>
      <c r="I258" s="431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330"/>
      <c r="U258" s="248">
        <f>H258*15%</f>
        <v>1106.5725</v>
      </c>
      <c r="V258" s="388"/>
      <c r="W258" s="237">
        <f t="shared" si="27"/>
        <v>8483.7225</v>
      </c>
    </row>
    <row r="259" spans="1:23" ht="14.25" customHeight="1">
      <c r="A259" s="240">
        <v>16</v>
      </c>
      <c r="B259" s="300" t="s">
        <v>213</v>
      </c>
      <c r="C259" s="301" t="s">
        <v>284</v>
      </c>
      <c r="D259" s="300"/>
      <c r="E259" s="369">
        <v>1</v>
      </c>
      <c r="F259" s="387">
        <v>5265</v>
      </c>
      <c r="G259" s="510">
        <v>10</v>
      </c>
      <c r="H259" s="431">
        <f t="shared" si="25"/>
        <v>5265</v>
      </c>
      <c r="I259" s="431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330"/>
      <c r="U259" s="248">
        <f>H259*50%</f>
        <v>2632.5</v>
      </c>
      <c r="V259" s="388"/>
      <c r="W259" s="237">
        <f t="shared" si="27"/>
        <v>7897.5</v>
      </c>
    </row>
    <row r="260" spans="1:23" ht="17.25" customHeight="1">
      <c r="A260" s="240">
        <v>17</v>
      </c>
      <c r="B260" s="267" t="s">
        <v>212</v>
      </c>
      <c r="C260" s="221">
        <v>3231</v>
      </c>
      <c r="D260" s="267"/>
      <c r="E260" s="369">
        <v>1</v>
      </c>
      <c r="F260" s="387">
        <v>4195</v>
      </c>
      <c r="G260" s="286">
        <v>6</v>
      </c>
      <c r="H260" s="431">
        <f t="shared" si="25"/>
        <v>4195</v>
      </c>
      <c r="I260" s="431"/>
      <c r="J260" s="248">
        <f>F260*30%</f>
        <v>1258.5</v>
      </c>
      <c r="K260" s="248"/>
      <c r="L260" s="248"/>
      <c r="M260" s="248"/>
      <c r="N260" s="248"/>
      <c r="O260" s="248"/>
      <c r="P260" s="248"/>
      <c r="Q260" s="248"/>
      <c r="R260" s="248"/>
      <c r="S260" s="248"/>
      <c r="T260" s="330"/>
      <c r="U260" s="248"/>
      <c r="V260" s="388">
        <f>6700*E260-H260-I260-J260-K260-L260-M260-N260-O260-P260-Q260-U260</f>
        <v>1246.5</v>
      </c>
      <c r="W260" s="237">
        <f t="shared" si="27"/>
        <v>6700</v>
      </c>
    </row>
    <row r="261" spans="1:23" ht="20.25" customHeight="1">
      <c r="A261" s="240">
        <v>18</v>
      </c>
      <c r="B261" s="300" t="s">
        <v>216</v>
      </c>
      <c r="C261" s="301">
        <v>4115</v>
      </c>
      <c r="D261" s="300"/>
      <c r="E261" s="369">
        <v>1</v>
      </c>
      <c r="F261" s="387">
        <v>3934</v>
      </c>
      <c r="G261" s="286">
        <v>5</v>
      </c>
      <c r="H261" s="431">
        <f t="shared" si="25"/>
        <v>3934</v>
      </c>
      <c r="I261" s="431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330"/>
      <c r="U261" s="248"/>
      <c r="V261" s="388">
        <f aca="true" t="shared" si="29" ref="V261:V273">6700*E261-H261-I261-J261-K261-L261-M261-N261-O261-P261-Q261-U261</f>
        <v>2766</v>
      </c>
      <c r="W261" s="237">
        <f t="shared" si="27"/>
        <v>6700</v>
      </c>
    </row>
    <row r="262" spans="1:23" ht="15.75" customHeight="1" hidden="1">
      <c r="A262" s="240">
        <v>13</v>
      </c>
      <c r="B262" s="300" t="s">
        <v>217</v>
      </c>
      <c r="C262" s="301"/>
      <c r="D262" s="300"/>
      <c r="E262" s="248"/>
      <c r="F262" s="387"/>
      <c r="G262" s="286"/>
      <c r="H262" s="431">
        <f t="shared" si="25"/>
        <v>0</v>
      </c>
      <c r="I262" s="431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330"/>
      <c r="U262" s="248"/>
      <c r="V262" s="388">
        <f t="shared" si="29"/>
        <v>0</v>
      </c>
      <c r="W262" s="237">
        <f t="shared" si="27"/>
        <v>0</v>
      </c>
    </row>
    <row r="263" spans="1:23" ht="48.75" customHeight="1">
      <c r="A263" s="240">
        <v>19</v>
      </c>
      <c r="B263" s="241" t="s">
        <v>218</v>
      </c>
      <c r="C263" s="242">
        <v>7129</v>
      </c>
      <c r="D263" s="300"/>
      <c r="E263" s="369">
        <v>1</v>
      </c>
      <c r="F263" s="387">
        <v>3674</v>
      </c>
      <c r="G263" s="286">
        <v>4</v>
      </c>
      <c r="H263" s="431">
        <f t="shared" si="25"/>
        <v>3674</v>
      </c>
      <c r="I263" s="431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330"/>
      <c r="U263" s="248"/>
      <c r="V263" s="388">
        <f t="shared" si="29"/>
        <v>3026</v>
      </c>
      <c r="W263" s="237">
        <f t="shared" si="27"/>
        <v>6700</v>
      </c>
    </row>
    <row r="264" spans="1:23" ht="16.5" customHeight="1">
      <c r="A264" s="240">
        <v>20</v>
      </c>
      <c r="B264" s="300" t="s">
        <v>10</v>
      </c>
      <c r="C264" s="301">
        <v>9152</v>
      </c>
      <c r="D264" s="300"/>
      <c r="E264" s="248">
        <v>2.5</v>
      </c>
      <c r="F264" s="387">
        <v>3153</v>
      </c>
      <c r="G264" s="286">
        <v>2</v>
      </c>
      <c r="H264" s="431">
        <f t="shared" si="25"/>
        <v>7882.5</v>
      </c>
      <c r="I264" s="431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90">
        <f>F264*40%*E264</f>
        <v>3153</v>
      </c>
      <c r="U264" s="248"/>
      <c r="V264" s="388">
        <f t="shared" si="29"/>
        <v>8867.5</v>
      </c>
      <c r="W264" s="237">
        <f t="shared" si="27"/>
        <v>19903</v>
      </c>
    </row>
    <row r="265" spans="1:23" ht="30.75" customHeight="1">
      <c r="A265" s="240">
        <v>21</v>
      </c>
      <c r="B265" s="267" t="s">
        <v>87</v>
      </c>
      <c r="C265" s="221">
        <v>9132</v>
      </c>
      <c r="D265" s="267"/>
      <c r="E265" s="369">
        <v>9.5</v>
      </c>
      <c r="F265" s="387">
        <v>3153</v>
      </c>
      <c r="G265" s="286">
        <v>2</v>
      </c>
      <c r="H265" s="431">
        <f t="shared" si="25"/>
        <v>29953.5</v>
      </c>
      <c r="I265" s="431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>
        <f>F265*10%*E265</f>
        <v>2995.35</v>
      </c>
      <c r="T265" s="330"/>
      <c r="U265" s="248"/>
      <c r="V265" s="388">
        <f t="shared" si="29"/>
        <v>33696.5</v>
      </c>
      <c r="W265" s="237">
        <f t="shared" si="27"/>
        <v>66645.35</v>
      </c>
    </row>
    <row r="266" spans="1:23" ht="18" customHeight="1">
      <c r="A266" s="240">
        <v>22</v>
      </c>
      <c r="B266" s="300" t="s">
        <v>285</v>
      </c>
      <c r="C266" s="301">
        <v>9152</v>
      </c>
      <c r="D266" s="300"/>
      <c r="E266" s="369">
        <v>1</v>
      </c>
      <c r="F266" s="387">
        <v>2893</v>
      </c>
      <c r="G266" s="286">
        <v>1</v>
      </c>
      <c r="H266" s="431">
        <f t="shared" si="25"/>
        <v>2893</v>
      </c>
      <c r="I266" s="431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330"/>
      <c r="U266" s="248"/>
      <c r="V266" s="388">
        <f t="shared" si="29"/>
        <v>3807</v>
      </c>
      <c r="W266" s="237">
        <f t="shared" si="27"/>
        <v>6700</v>
      </c>
    </row>
    <row r="267" spans="1:23" ht="18" customHeight="1">
      <c r="A267" s="240">
        <v>23</v>
      </c>
      <c r="B267" s="300" t="s">
        <v>68</v>
      </c>
      <c r="C267" s="301">
        <v>3570</v>
      </c>
      <c r="D267" s="300"/>
      <c r="E267" s="369">
        <v>1</v>
      </c>
      <c r="F267" s="387">
        <v>4195</v>
      </c>
      <c r="G267" s="286">
        <v>6</v>
      </c>
      <c r="H267" s="431">
        <f t="shared" si="25"/>
        <v>4195</v>
      </c>
      <c r="I267" s="431"/>
      <c r="J267" s="248"/>
      <c r="K267" s="248"/>
      <c r="L267" s="248"/>
      <c r="M267" s="248"/>
      <c r="N267" s="248"/>
      <c r="O267" s="248"/>
      <c r="P267" s="248"/>
      <c r="Q267" s="248"/>
      <c r="R267" s="290">
        <f>F267*E267*12%</f>
        <v>503.4</v>
      </c>
      <c r="S267" s="248"/>
      <c r="T267" s="330"/>
      <c r="U267" s="248">
        <f>F267*E267*15%</f>
        <v>629.25</v>
      </c>
      <c r="V267" s="388">
        <f t="shared" si="29"/>
        <v>1875.75</v>
      </c>
      <c r="W267" s="237">
        <f t="shared" si="27"/>
        <v>7203.4</v>
      </c>
    </row>
    <row r="268" spans="1:23" ht="15.75" customHeight="1">
      <c r="A268" s="240">
        <v>24</v>
      </c>
      <c r="B268" s="300" t="s">
        <v>8</v>
      </c>
      <c r="C268" s="301">
        <v>5122</v>
      </c>
      <c r="D268" s="300"/>
      <c r="E268" s="369">
        <v>2</v>
      </c>
      <c r="F268" s="387">
        <v>3934</v>
      </c>
      <c r="G268" s="286">
        <v>5</v>
      </c>
      <c r="H268" s="431">
        <f t="shared" si="25"/>
        <v>7868</v>
      </c>
      <c r="I268" s="431"/>
      <c r="J268" s="248"/>
      <c r="K268" s="248"/>
      <c r="L268" s="248"/>
      <c r="M268" s="248"/>
      <c r="N268" s="248"/>
      <c r="O268" s="248"/>
      <c r="P268" s="248"/>
      <c r="Q268" s="248"/>
      <c r="R268" s="290">
        <f>F268*E268*12%</f>
        <v>944.16</v>
      </c>
      <c r="S268" s="248"/>
      <c r="T268" s="330"/>
      <c r="U268" s="248">
        <f>F268*E268*15%</f>
        <v>1180.2</v>
      </c>
      <c r="V268" s="388">
        <f t="shared" si="29"/>
        <v>4351.8</v>
      </c>
      <c r="W268" s="237">
        <f t="shared" si="27"/>
        <v>14344.16</v>
      </c>
    </row>
    <row r="269" spans="1:23" ht="16.5" customHeight="1">
      <c r="A269" s="240">
        <v>25</v>
      </c>
      <c r="B269" s="267" t="s">
        <v>128</v>
      </c>
      <c r="C269" s="242">
        <v>9132</v>
      </c>
      <c r="D269" s="300"/>
      <c r="E269" s="369">
        <v>1</v>
      </c>
      <c r="F269" s="387">
        <v>2893</v>
      </c>
      <c r="G269" s="286">
        <v>1</v>
      </c>
      <c r="H269" s="431">
        <f t="shared" si="25"/>
        <v>2893</v>
      </c>
      <c r="I269" s="431"/>
      <c r="J269" s="248"/>
      <c r="K269" s="248"/>
      <c r="L269" s="248"/>
      <c r="M269" s="248"/>
      <c r="N269" s="248"/>
      <c r="O269" s="248"/>
      <c r="P269" s="248"/>
      <c r="Q269" s="248"/>
      <c r="R269" s="290">
        <f>F269*E269*12%</f>
        <v>347.15999999999997</v>
      </c>
      <c r="S269" s="248"/>
      <c r="T269" s="330"/>
      <c r="U269" s="248">
        <f>F269*E269*15%</f>
        <v>433.95</v>
      </c>
      <c r="V269" s="388">
        <f t="shared" si="29"/>
        <v>3373.05</v>
      </c>
      <c r="W269" s="237">
        <f t="shared" si="27"/>
        <v>7047.16</v>
      </c>
    </row>
    <row r="270" spans="1:23" ht="15.75" customHeight="1">
      <c r="A270" s="240">
        <v>26</v>
      </c>
      <c r="B270" s="300" t="s">
        <v>56</v>
      </c>
      <c r="C270" s="301">
        <v>9162</v>
      </c>
      <c r="D270" s="300"/>
      <c r="E270" s="369">
        <v>1</v>
      </c>
      <c r="F270" s="387">
        <v>2893</v>
      </c>
      <c r="G270" s="286">
        <v>1</v>
      </c>
      <c r="H270" s="431">
        <f t="shared" si="25"/>
        <v>2893</v>
      </c>
      <c r="I270" s="431"/>
      <c r="J270" s="248"/>
      <c r="K270" s="248"/>
      <c r="L270" s="248"/>
      <c r="M270" s="248"/>
      <c r="N270" s="248"/>
      <c r="O270" s="248"/>
      <c r="P270" s="248"/>
      <c r="Q270" s="248"/>
      <c r="R270" s="290"/>
      <c r="S270" s="248"/>
      <c r="T270" s="330"/>
      <c r="U270" s="248"/>
      <c r="V270" s="388">
        <f t="shared" si="29"/>
        <v>3807</v>
      </c>
      <c r="W270" s="237">
        <f t="shared" si="27"/>
        <v>6700</v>
      </c>
    </row>
    <row r="271" spans="1:23" ht="15.75" customHeight="1" hidden="1">
      <c r="A271" s="240"/>
      <c r="B271" s="300"/>
      <c r="C271" s="301"/>
      <c r="D271" s="300"/>
      <c r="E271" s="369"/>
      <c r="F271" s="387"/>
      <c r="G271" s="286"/>
      <c r="H271" s="431">
        <f t="shared" si="25"/>
        <v>0</v>
      </c>
      <c r="I271" s="431"/>
      <c r="J271" s="248"/>
      <c r="K271" s="248"/>
      <c r="L271" s="248"/>
      <c r="M271" s="248"/>
      <c r="N271" s="248"/>
      <c r="O271" s="248"/>
      <c r="P271" s="248"/>
      <c r="Q271" s="248"/>
      <c r="R271" s="290"/>
      <c r="S271" s="248"/>
      <c r="T271" s="330"/>
      <c r="U271" s="248"/>
      <c r="V271" s="388">
        <f t="shared" si="29"/>
        <v>0</v>
      </c>
      <c r="W271" s="237">
        <f t="shared" si="27"/>
        <v>0</v>
      </c>
    </row>
    <row r="272" spans="1:23" ht="21" customHeight="1" hidden="1">
      <c r="A272" s="240">
        <v>18</v>
      </c>
      <c r="B272" s="300"/>
      <c r="C272" s="301"/>
      <c r="D272" s="300"/>
      <c r="E272" s="369"/>
      <c r="F272" s="237"/>
      <c r="G272" s="286"/>
      <c r="H272" s="431"/>
      <c r="I272" s="431"/>
      <c r="J272" s="248"/>
      <c r="K272" s="248"/>
      <c r="L272" s="248"/>
      <c r="M272" s="248"/>
      <c r="N272" s="248"/>
      <c r="O272" s="248"/>
      <c r="P272" s="248"/>
      <c r="Q272" s="248"/>
      <c r="R272" s="290"/>
      <c r="S272" s="248"/>
      <c r="T272" s="330"/>
      <c r="U272" s="248"/>
      <c r="V272" s="388">
        <f t="shared" si="29"/>
        <v>0</v>
      </c>
      <c r="W272" s="237"/>
    </row>
    <row r="273" spans="1:23" ht="18.75" customHeight="1">
      <c r="A273" s="240">
        <v>27</v>
      </c>
      <c r="B273" s="300" t="s">
        <v>12</v>
      </c>
      <c r="C273" s="301">
        <v>4131</v>
      </c>
      <c r="D273" s="300"/>
      <c r="E273" s="369">
        <v>1</v>
      </c>
      <c r="F273" s="387">
        <v>3153</v>
      </c>
      <c r="G273" s="286">
        <v>2</v>
      </c>
      <c r="H273" s="431">
        <f t="shared" si="25"/>
        <v>3153</v>
      </c>
      <c r="I273" s="431"/>
      <c r="J273" s="248"/>
      <c r="K273" s="248"/>
      <c r="L273" s="248"/>
      <c r="M273" s="248"/>
      <c r="N273" s="248"/>
      <c r="O273" s="248"/>
      <c r="P273" s="248"/>
      <c r="Q273" s="248"/>
      <c r="R273" s="290"/>
      <c r="S273" s="248"/>
      <c r="T273" s="330"/>
      <c r="U273" s="248"/>
      <c r="V273" s="388">
        <f t="shared" si="29"/>
        <v>3547</v>
      </c>
      <c r="W273" s="237">
        <f t="shared" si="27"/>
        <v>6700</v>
      </c>
    </row>
    <row r="274" spans="1:23" ht="5.25" customHeight="1" hidden="1">
      <c r="A274" s="254"/>
      <c r="B274" s="267"/>
      <c r="C274" s="221"/>
      <c r="D274" s="267"/>
      <c r="E274" s="248"/>
      <c r="F274" s="387"/>
      <c r="G274" s="286"/>
      <c r="H274" s="286"/>
      <c r="I274" s="286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330"/>
      <c r="U274" s="290"/>
      <c r="V274" s="237"/>
      <c r="W274" s="237"/>
    </row>
    <row r="275" spans="1:23" ht="19.5" customHeight="1">
      <c r="A275" s="393"/>
      <c r="B275" s="303" t="s">
        <v>286</v>
      </c>
      <c r="C275" s="302"/>
      <c r="D275" s="303"/>
      <c r="E275" s="489">
        <f>E255+E256+E258+E259+E260+E261+E263+E264+E265+E268+E269+E270+E272+E273+E266+E267</f>
        <v>80.25</v>
      </c>
      <c r="F275" s="489">
        <f aca="true" t="shared" si="30" ref="F275:W275">F255+F256+F258+F259+F260+F261+F263+F264+F265+F268+F269+F270+F272+F273+F266+F267</f>
        <v>56845.15</v>
      </c>
      <c r="G275" s="489">
        <f t="shared" si="30"/>
        <v>57.85</v>
      </c>
      <c r="H275" s="489">
        <f t="shared" si="30"/>
        <v>482912.14</v>
      </c>
      <c r="I275" s="489">
        <f t="shared" si="30"/>
        <v>39060.295000000006</v>
      </c>
      <c r="J275" s="489">
        <f t="shared" si="30"/>
        <v>97149.22299999998</v>
      </c>
      <c r="K275" s="489">
        <f t="shared" si="30"/>
        <v>74088.98825000001</v>
      </c>
      <c r="L275" s="489">
        <f t="shared" si="30"/>
        <v>919.9499999999999</v>
      </c>
      <c r="M275" s="489">
        <f t="shared" si="30"/>
        <v>7683.61</v>
      </c>
      <c r="N275" s="489">
        <f t="shared" si="30"/>
        <v>0</v>
      </c>
      <c r="O275" s="489">
        <f t="shared" si="30"/>
        <v>29395.28</v>
      </c>
      <c r="P275" s="489">
        <f t="shared" si="30"/>
        <v>38953.97</v>
      </c>
      <c r="Q275" s="489">
        <f t="shared" si="30"/>
        <v>722.38</v>
      </c>
      <c r="R275" s="489">
        <f t="shared" si="30"/>
        <v>1794.7199999999998</v>
      </c>
      <c r="S275" s="489">
        <f t="shared" si="30"/>
        <v>2995.35</v>
      </c>
      <c r="T275" s="489">
        <f t="shared" si="30"/>
        <v>3153</v>
      </c>
      <c r="U275" s="489">
        <f t="shared" si="30"/>
        <v>5982.4725</v>
      </c>
      <c r="V275" s="489">
        <f t="shared" si="30"/>
        <v>70364.1</v>
      </c>
      <c r="W275" s="489">
        <f t="shared" si="30"/>
        <v>855175.4787500001</v>
      </c>
    </row>
    <row r="276" spans="11:21" ht="20.25" hidden="1">
      <c r="K276" s="201"/>
      <c r="O276" s="203" t="s">
        <v>287</v>
      </c>
      <c r="P276" s="204"/>
      <c r="Q276" s="204"/>
      <c r="R276" s="204"/>
      <c r="S276" s="204"/>
      <c r="T276" s="204"/>
      <c r="U276" s="204"/>
    </row>
    <row r="277" spans="15:21" ht="18" customHeight="1" hidden="1">
      <c r="O277" s="1052"/>
      <c r="P277" s="1052"/>
      <c r="Q277" s="1052"/>
      <c r="R277" s="1052"/>
      <c r="S277" s="1052"/>
      <c r="T277" s="1052"/>
      <c r="U277" s="204"/>
    </row>
    <row r="278" spans="15:21" ht="14.25" customHeight="1" hidden="1">
      <c r="O278" s="204"/>
      <c r="P278" s="204"/>
      <c r="Q278" s="204"/>
      <c r="R278" s="204"/>
      <c r="S278" s="338"/>
      <c r="T278" s="338"/>
      <c r="U278" s="338"/>
    </row>
    <row r="279" spans="2:21" ht="15" hidden="1">
      <c r="B279" s="1053"/>
      <c r="C279" s="1053"/>
      <c r="D279" s="1053"/>
      <c r="E279" s="1053"/>
      <c r="F279" s="1053"/>
      <c r="G279" s="1053"/>
      <c r="H279" s="1053"/>
      <c r="I279" s="1053"/>
      <c r="J279" s="1053"/>
      <c r="K279" s="1053"/>
      <c r="L279" s="1053"/>
      <c r="O279" s="204"/>
      <c r="P279" s="204"/>
      <c r="Q279" s="204"/>
      <c r="R279" s="204"/>
      <c r="S279" s="338"/>
      <c r="T279" s="338"/>
      <c r="U279" s="338"/>
    </row>
    <row r="280" spans="1:16" ht="69" customHeight="1">
      <c r="A280" s="1054" t="s">
        <v>288</v>
      </c>
      <c r="B280" s="1054"/>
      <c r="C280" s="1054"/>
      <c r="D280" s="1054"/>
      <c r="E280" s="1054"/>
      <c r="F280" s="1054"/>
      <c r="G280" s="1054"/>
      <c r="H280" s="1054"/>
      <c r="I280" s="1054"/>
      <c r="J280" s="1054"/>
      <c r="K280" s="1054"/>
      <c r="L280" s="1054"/>
      <c r="M280" s="1054"/>
      <c r="N280" s="1054"/>
      <c r="O280" s="1054"/>
      <c r="P280" s="1054"/>
    </row>
    <row r="281" spans="2:21" ht="13.5" hidden="1">
      <c r="B281" s="204"/>
      <c r="C281" s="217"/>
      <c r="D281" s="204"/>
      <c r="E281" s="204"/>
      <c r="F281" s="204"/>
      <c r="G281" s="218"/>
      <c r="H281" s="218"/>
      <c r="I281" s="218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</row>
    <row r="282" spans="1:21" ht="13.5">
      <c r="A282" s="459"/>
      <c r="B282" s="352" t="s">
        <v>289</v>
      </c>
      <c r="C282" s="351"/>
      <c r="D282" s="352"/>
      <c r="E282" s="352"/>
      <c r="F282" s="352"/>
      <c r="G282" s="218"/>
      <c r="H282" s="218"/>
      <c r="I282" s="218"/>
      <c r="J282" s="204"/>
      <c r="M282" s="204"/>
      <c r="N282" s="204"/>
      <c r="O282" s="204"/>
      <c r="P282" s="204"/>
      <c r="Q282" s="204"/>
      <c r="R282" s="204"/>
      <c r="S282" s="204"/>
      <c r="T282" s="204"/>
      <c r="U282" s="204"/>
    </row>
    <row r="283" spans="1:21" ht="13.5">
      <c r="A283" s="459"/>
      <c r="B283" s="352" t="s">
        <v>290</v>
      </c>
      <c r="C283" s="351"/>
      <c r="D283" s="352"/>
      <c r="E283" s="352" t="s">
        <v>291</v>
      </c>
      <c r="F283" s="352"/>
      <c r="G283" s="218"/>
      <c r="H283" s="218"/>
      <c r="I283" s="1055"/>
      <c r="J283" s="1055"/>
      <c r="M283" s="204"/>
      <c r="N283" s="204"/>
      <c r="O283" s="204"/>
      <c r="P283" s="204"/>
      <c r="Q283" s="204"/>
      <c r="R283" s="204"/>
      <c r="S283" s="204"/>
      <c r="T283" s="204"/>
      <c r="U283" s="204"/>
    </row>
    <row r="284" spans="2:21" ht="9.75" customHeight="1">
      <c r="B284" s="204"/>
      <c r="C284" s="217"/>
      <c r="D284" s="204"/>
      <c r="E284" s="204"/>
      <c r="F284" s="204"/>
      <c r="G284" s="218"/>
      <c r="H284" s="218"/>
      <c r="I284" s="218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</row>
    <row r="285" spans="1:21" ht="12.75" customHeight="1">
      <c r="A285" s="1003" t="s">
        <v>0</v>
      </c>
      <c r="B285" s="461" t="s">
        <v>1</v>
      </c>
      <c r="C285" s="937" t="s">
        <v>117</v>
      </c>
      <c r="D285" s="937" t="s">
        <v>184</v>
      </c>
      <c r="E285" s="462" t="s">
        <v>2</v>
      </c>
      <c r="F285" s="1032" t="s">
        <v>272</v>
      </c>
      <c r="G285" s="1032" t="s">
        <v>35</v>
      </c>
      <c r="H285" s="1033" t="s">
        <v>58</v>
      </c>
      <c r="I285" s="1056" t="s">
        <v>39</v>
      </c>
      <c r="J285" s="1034" t="s">
        <v>33</v>
      </c>
      <c r="K285" s="1034"/>
      <c r="L285" s="1034"/>
      <c r="M285" s="1034"/>
      <c r="N285" s="463"/>
      <c r="O285" s="463"/>
      <c r="P285" s="511"/>
      <c r="Q285" s="463" t="s">
        <v>5</v>
      </c>
      <c r="R285" s="512"/>
      <c r="S285" s="1036" t="s">
        <v>100</v>
      </c>
      <c r="T285" s="1036" t="s">
        <v>239</v>
      </c>
      <c r="U285" s="1036" t="s">
        <v>292</v>
      </c>
    </row>
    <row r="286" spans="1:21" ht="12.75" customHeight="1">
      <c r="A286" s="1004"/>
      <c r="B286" s="464" t="s">
        <v>186</v>
      </c>
      <c r="C286" s="938"/>
      <c r="D286" s="938"/>
      <c r="E286" s="464" t="s">
        <v>3</v>
      </c>
      <c r="F286" s="1032"/>
      <c r="G286" s="1032"/>
      <c r="H286" s="1033"/>
      <c r="I286" s="1057"/>
      <c r="J286" s="1039" t="s">
        <v>187</v>
      </c>
      <c r="K286" s="1041" t="s">
        <v>293</v>
      </c>
      <c r="L286" s="1042" t="s">
        <v>294</v>
      </c>
      <c r="M286" s="1044" t="s">
        <v>295</v>
      </c>
      <c r="N286" s="465"/>
      <c r="O286" s="1045" t="s">
        <v>244</v>
      </c>
      <c r="P286" s="949" t="s">
        <v>20</v>
      </c>
      <c r="Q286" s="1059" t="s">
        <v>51</v>
      </c>
      <c r="R286" s="982" t="s">
        <v>261</v>
      </c>
      <c r="S286" s="1037"/>
      <c r="T286" s="1037"/>
      <c r="U286" s="1037"/>
    </row>
    <row r="287" spans="1:21" ht="13.5">
      <c r="A287" s="1004"/>
      <c r="B287" s="464"/>
      <c r="C287" s="938"/>
      <c r="D287" s="938"/>
      <c r="E287" s="464" t="s">
        <v>4</v>
      </c>
      <c r="F287" s="1032"/>
      <c r="G287" s="1032"/>
      <c r="H287" s="1033"/>
      <c r="I287" s="1057"/>
      <c r="J287" s="1039"/>
      <c r="K287" s="1042"/>
      <c r="L287" s="1042"/>
      <c r="M287" s="1042"/>
      <c r="N287" s="466"/>
      <c r="O287" s="1046"/>
      <c r="P287" s="949"/>
      <c r="Q287" s="1060"/>
      <c r="R287" s="982"/>
      <c r="S287" s="1037"/>
      <c r="T287" s="1037"/>
      <c r="U287" s="1037"/>
    </row>
    <row r="288" spans="1:21" ht="13.5">
      <c r="A288" s="1004"/>
      <c r="B288" s="464"/>
      <c r="C288" s="938"/>
      <c r="D288" s="938"/>
      <c r="E288" s="464"/>
      <c r="F288" s="1032"/>
      <c r="G288" s="1032"/>
      <c r="H288" s="1033"/>
      <c r="I288" s="1057"/>
      <c r="J288" s="1039"/>
      <c r="K288" s="1042"/>
      <c r="L288" s="1042"/>
      <c r="M288" s="1042"/>
      <c r="N288" s="466"/>
      <c r="O288" s="1046"/>
      <c r="P288" s="949"/>
      <c r="Q288" s="1060"/>
      <c r="R288" s="982"/>
      <c r="S288" s="1037"/>
      <c r="T288" s="1037"/>
      <c r="U288" s="1037"/>
    </row>
    <row r="289" spans="1:21" ht="93.75" customHeight="1">
      <c r="A289" s="1005"/>
      <c r="B289" s="467"/>
      <c r="C289" s="939"/>
      <c r="D289" s="939"/>
      <c r="E289" s="468"/>
      <c r="F289" s="1032"/>
      <c r="G289" s="1032"/>
      <c r="H289" s="1033"/>
      <c r="I289" s="1058"/>
      <c r="J289" s="1040"/>
      <c r="K289" s="1043"/>
      <c r="L289" s="1043"/>
      <c r="M289" s="1043"/>
      <c r="N289" s="469" t="s">
        <v>191</v>
      </c>
      <c r="O289" s="1047"/>
      <c r="P289" s="950"/>
      <c r="Q289" s="1061"/>
      <c r="R289" s="982"/>
      <c r="S289" s="1038"/>
      <c r="T289" s="1038"/>
      <c r="U289" s="1038"/>
    </row>
    <row r="290" spans="1:21" ht="15.75" customHeight="1" hidden="1">
      <c r="A290" s="254"/>
      <c r="B290" s="513" t="s">
        <v>296</v>
      </c>
      <c r="C290" s="514"/>
      <c r="D290" s="513"/>
      <c r="E290" s="515"/>
      <c r="F290" s="516"/>
      <c r="G290" s="517"/>
      <c r="H290" s="517"/>
      <c r="I290" s="517"/>
      <c r="J290" s="316"/>
      <c r="K290" s="316"/>
      <c r="L290" s="316"/>
      <c r="M290" s="316"/>
      <c r="N290" s="316"/>
      <c r="O290" s="518"/>
      <c r="P290" s="316"/>
      <c r="Q290" s="395"/>
      <c r="R290" s="316"/>
      <c r="S290" s="315"/>
      <c r="T290" s="315"/>
      <c r="U290" s="315"/>
    </row>
    <row r="291" spans="1:22" ht="34.5" customHeight="1" hidden="1">
      <c r="A291" s="254"/>
      <c r="B291" s="309"/>
      <c r="C291" s="310"/>
      <c r="D291" s="309"/>
      <c r="E291" s="515"/>
      <c r="F291" s="435"/>
      <c r="G291" s="485"/>
      <c r="H291" s="485"/>
      <c r="I291" s="485"/>
      <c r="J291" s="316"/>
      <c r="K291" s="316">
        <f>F291*10%</f>
        <v>0</v>
      </c>
      <c r="L291" s="316"/>
      <c r="M291" s="316"/>
      <c r="N291" s="316"/>
      <c r="O291" s="518"/>
      <c r="P291" s="316"/>
      <c r="Q291" s="395"/>
      <c r="R291" s="316"/>
      <c r="S291" s="315">
        <f>F291*E291+J291+K291+L291+M291+O291+P291+Q291+R291</f>
        <v>0</v>
      </c>
      <c r="T291" s="315"/>
      <c r="U291" s="315">
        <f>S291+T291</f>
        <v>0</v>
      </c>
      <c r="V291" s="203">
        <f>F291+F294+F295*E295+F296*E296+F299*E299+F300*E300+F304*E304+F305+M295+M298+M299</f>
        <v>93684.7</v>
      </c>
    </row>
    <row r="292" spans="1:21" ht="23.25" customHeight="1">
      <c r="A292" s="240">
        <v>28</v>
      </c>
      <c r="B292" s="300" t="s">
        <v>11</v>
      </c>
      <c r="C292" s="301" t="s">
        <v>119</v>
      </c>
      <c r="D292" s="300"/>
      <c r="E292" s="369">
        <v>1</v>
      </c>
      <c r="F292" s="387">
        <v>6133</v>
      </c>
      <c r="G292" s="286">
        <v>12</v>
      </c>
      <c r="H292" s="250">
        <f>F292*E292</f>
        <v>6133</v>
      </c>
      <c r="I292" s="250">
        <f>H292*10%</f>
        <v>613.3000000000001</v>
      </c>
      <c r="J292" s="248">
        <f>(H292+I292+M292+N292)*10%</f>
        <v>674.6300000000001</v>
      </c>
      <c r="K292" s="248">
        <f>(H292+I292+M292+N292)*10%</f>
        <v>674.6300000000001</v>
      </c>
      <c r="L292" s="248"/>
      <c r="M292" s="248"/>
      <c r="N292" s="248"/>
      <c r="O292" s="290"/>
      <c r="P292" s="248"/>
      <c r="Q292" s="330"/>
      <c r="R292" s="248"/>
      <c r="S292" s="388"/>
      <c r="T292" s="237">
        <f>H292+I292+J292+K292+L292+M292+N292+O292+P292+Q292+R292+S292</f>
        <v>8095.56</v>
      </c>
      <c r="U292" s="237">
        <f>T292*1.168+H292+H292*10%</f>
        <v>16201.914079999999</v>
      </c>
    </row>
    <row r="293" spans="1:21" ht="18.75" customHeight="1">
      <c r="A293" s="240">
        <v>29</v>
      </c>
      <c r="B293" s="300" t="s">
        <v>122</v>
      </c>
      <c r="C293" s="301">
        <v>1239</v>
      </c>
      <c r="D293" s="300"/>
      <c r="E293" s="369">
        <v>1</v>
      </c>
      <c r="F293" s="387">
        <v>4745</v>
      </c>
      <c r="G293" s="328">
        <v>8</v>
      </c>
      <c r="H293" s="250">
        <f aca="true" t="shared" si="31" ref="H293:H315">F293*E293</f>
        <v>4745</v>
      </c>
      <c r="I293" s="250"/>
      <c r="J293" s="248"/>
      <c r="K293" s="248"/>
      <c r="L293" s="248"/>
      <c r="M293" s="248"/>
      <c r="N293" s="248"/>
      <c r="O293" s="290"/>
      <c r="P293" s="248"/>
      <c r="Q293" s="330"/>
      <c r="R293" s="248">
        <f>H293*50%</f>
        <v>2372.5</v>
      </c>
      <c r="S293" s="388"/>
      <c r="T293" s="237">
        <f>H293+I293+J293+K293+L293+M293+N293+O293+P293+Q293+R293+S293</f>
        <v>7117.5</v>
      </c>
      <c r="U293" s="237">
        <f aca="true" t="shared" si="32" ref="U293:U305">T293*1.168+H293+H293*10%</f>
        <v>13532.74</v>
      </c>
    </row>
    <row r="294" spans="1:21" ht="19.5" customHeight="1">
      <c r="A294" s="240">
        <v>30</v>
      </c>
      <c r="B294" s="300" t="s">
        <v>13</v>
      </c>
      <c r="C294" s="301" t="s">
        <v>121</v>
      </c>
      <c r="D294" s="300"/>
      <c r="E294" s="369">
        <v>1</v>
      </c>
      <c r="F294" s="387">
        <v>5699</v>
      </c>
      <c r="G294" s="286">
        <v>11</v>
      </c>
      <c r="H294" s="250">
        <f t="shared" si="31"/>
        <v>5699</v>
      </c>
      <c r="I294" s="250">
        <f aca="true" t="shared" si="33" ref="I294:I305">H294*10%</f>
        <v>569.9</v>
      </c>
      <c r="J294" s="248">
        <f>(H294+I294+M294+N294)*20%</f>
        <v>1253.78</v>
      </c>
      <c r="K294" s="248">
        <f aca="true" t="shared" si="34" ref="K294:K305">(H294+I294+M294+N294)*10%</f>
        <v>626.89</v>
      </c>
      <c r="L294" s="248"/>
      <c r="M294" s="248"/>
      <c r="N294" s="248"/>
      <c r="O294" s="290"/>
      <c r="P294" s="248"/>
      <c r="Q294" s="330"/>
      <c r="R294" s="248"/>
      <c r="S294" s="388"/>
      <c r="T294" s="237">
        <f aca="true" t="shared" si="35" ref="T294:T314">H294+I294+J294+K294+L294+M294+N294+O294+P294+Q294+R294+S294</f>
        <v>8149.57</v>
      </c>
      <c r="U294" s="237">
        <f t="shared" si="32"/>
        <v>15787.597759999999</v>
      </c>
    </row>
    <row r="295" spans="1:21" ht="17.25" customHeight="1">
      <c r="A295" s="240">
        <v>31</v>
      </c>
      <c r="B295" s="298" t="s">
        <v>27</v>
      </c>
      <c r="C295" s="299" t="s">
        <v>120</v>
      </c>
      <c r="D295" s="300"/>
      <c r="E295" s="248">
        <v>1.25</v>
      </c>
      <c r="F295" s="387">
        <v>5005</v>
      </c>
      <c r="G295" s="286">
        <v>9</v>
      </c>
      <c r="H295" s="250">
        <f t="shared" si="31"/>
        <v>6256.25</v>
      </c>
      <c r="I295" s="250">
        <f t="shared" si="33"/>
        <v>625.625</v>
      </c>
      <c r="J295" s="248">
        <f>(H295+I295+M295+N295)*10%</f>
        <v>688.1875</v>
      </c>
      <c r="K295" s="248">
        <f t="shared" si="34"/>
        <v>688.1875</v>
      </c>
      <c r="L295" s="248"/>
      <c r="M295" s="248"/>
      <c r="N295" s="248"/>
      <c r="O295" s="248"/>
      <c r="P295" s="248"/>
      <c r="Q295" s="330"/>
      <c r="R295" s="290"/>
      <c r="S295" s="388">
        <v>116.74</v>
      </c>
      <c r="T295" s="237">
        <f t="shared" si="35"/>
        <v>8374.99</v>
      </c>
      <c r="U295" s="237">
        <f t="shared" si="32"/>
        <v>16663.863319999997</v>
      </c>
    </row>
    <row r="296" spans="1:21" ht="22.5" customHeight="1">
      <c r="A296" s="240">
        <v>32</v>
      </c>
      <c r="B296" s="298" t="s">
        <v>27</v>
      </c>
      <c r="C296" s="299" t="s">
        <v>120</v>
      </c>
      <c r="D296" s="300"/>
      <c r="E296" s="248">
        <v>1</v>
      </c>
      <c r="F296" s="387">
        <v>5265</v>
      </c>
      <c r="G296" s="286">
        <v>10</v>
      </c>
      <c r="H296" s="250">
        <f t="shared" si="31"/>
        <v>5265</v>
      </c>
      <c r="I296" s="250">
        <f t="shared" si="33"/>
        <v>526.5</v>
      </c>
      <c r="J296" s="248">
        <f>(H296+I296+M296+N296)*20%</f>
        <v>1158.3</v>
      </c>
      <c r="K296" s="248">
        <f t="shared" si="34"/>
        <v>579.15</v>
      </c>
      <c r="L296" s="248"/>
      <c r="M296" s="248"/>
      <c r="N296" s="248"/>
      <c r="O296" s="248"/>
      <c r="P296" s="248"/>
      <c r="Q296" s="330"/>
      <c r="R296" s="290"/>
      <c r="S296" s="388"/>
      <c r="T296" s="237">
        <f t="shared" si="35"/>
        <v>7528.95</v>
      </c>
      <c r="U296" s="237">
        <f t="shared" si="32"/>
        <v>14585.3136</v>
      </c>
    </row>
    <row r="297" spans="1:21" ht="20.25" customHeight="1">
      <c r="A297" s="240">
        <v>33</v>
      </c>
      <c r="B297" s="300" t="s">
        <v>135</v>
      </c>
      <c r="C297" s="301">
        <v>3475</v>
      </c>
      <c r="D297" s="300"/>
      <c r="E297" s="369">
        <v>1</v>
      </c>
      <c r="F297" s="387">
        <v>6133</v>
      </c>
      <c r="G297" s="286">
        <v>12</v>
      </c>
      <c r="H297" s="250">
        <f t="shared" si="31"/>
        <v>6133</v>
      </c>
      <c r="I297" s="250">
        <f t="shared" si="33"/>
        <v>613.3000000000001</v>
      </c>
      <c r="J297" s="248">
        <f>(H297+I297+M297+N297)*30%</f>
        <v>2023.8899999999999</v>
      </c>
      <c r="K297" s="248">
        <f t="shared" si="34"/>
        <v>674.6300000000001</v>
      </c>
      <c r="L297" s="248"/>
      <c r="M297" s="248"/>
      <c r="N297" s="248"/>
      <c r="O297" s="248"/>
      <c r="P297" s="248"/>
      <c r="Q297" s="330"/>
      <c r="R297" s="290"/>
      <c r="S297" s="388"/>
      <c r="T297" s="237">
        <f t="shared" si="35"/>
        <v>9444.82</v>
      </c>
      <c r="U297" s="237">
        <f t="shared" si="32"/>
        <v>17777.84976</v>
      </c>
    </row>
    <row r="298" spans="1:21" ht="31.5" customHeight="1">
      <c r="A298" s="240">
        <v>34</v>
      </c>
      <c r="B298" s="300" t="s">
        <v>297</v>
      </c>
      <c r="C298" s="301">
        <v>3231</v>
      </c>
      <c r="D298" s="300"/>
      <c r="E298" s="248">
        <v>2.25</v>
      </c>
      <c r="F298" s="387">
        <v>4195</v>
      </c>
      <c r="G298" s="286">
        <v>6</v>
      </c>
      <c r="H298" s="250">
        <f t="shared" si="31"/>
        <v>9438.75</v>
      </c>
      <c r="I298" s="250"/>
      <c r="J298" s="248">
        <f>230.73+461.45+1038.26</f>
        <v>1730.44</v>
      </c>
      <c r="K298" s="248"/>
      <c r="L298" s="248"/>
      <c r="M298" s="248">
        <v>943.95</v>
      </c>
      <c r="N298" s="248"/>
      <c r="O298" s="248"/>
      <c r="P298" s="248"/>
      <c r="Q298" s="330"/>
      <c r="R298" s="290"/>
      <c r="S298" s="388">
        <f>6700*E298-H298-I298-J298-K298-L298-M298-N298-R298</f>
        <v>2961.8599999999997</v>
      </c>
      <c r="T298" s="237">
        <f t="shared" si="35"/>
        <v>15075</v>
      </c>
      <c r="U298" s="237">
        <f t="shared" si="32"/>
        <v>27990.225</v>
      </c>
    </row>
    <row r="299" spans="1:21" ht="29.25" customHeight="1">
      <c r="A299" s="240">
        <v>35</v>
      </c>
      <c r="B299" s="300" t="s">
        <v>162</v>
      </c>
      <c r="C299" s="301">
        <v>2332</v>
      </c>
      <c r="D299" s="300"/>
      <c r="E299" s="248">
        <v>4</v>
      </c>
      <c r="F299" s="387">
        <v>7001</v>
      </c>
      <c r="G299" s="519">
        <v>14</v>
      </c>
      <c r="H299" s="250">
        <f>F299*E299</f>
        <v>28004</v>
      </c>
      <c r="I299" s="250">
        <f t="shared" si="33"/>
        <v>2800.4</v>
      </c>
      <c r="J299" s="481">
        <f>(H299+I299+L299+M299)*30%</f>
        <v>9241.32</v>
      </c>
      <c r="K299" s="481">
        <f t="shared" si="34"/>
        <v>3080.4400000000005</v>
      </c>
      <c r="L299" s="248"/>
      <c r="M299" s="248"/>
      <c r="N299" s="248"/>
      <c r="O299" s="248"/>
      <c r="P299" s="248"/>
      <c r="Q299" s="330"/>
      <c r="R299" s="290"/>
      <c r="S299" s="388"/>
      <c r="T299" s="237">
        <f t="shared" si="35"/>
        <v>43126.16</v>
      </c>
      <c r="U299" s="237">
        <f t="shared" si="32"/>
        <v>81175.75488</v>
      </c>
    </row>
    <row r="300" spans="1:21" ht="28.5" customHeight="1">
      <c r="A300" s="240">
        <v>36</v>
      </c>
      <c r="B300" s="300" t="s">
        <v>298</v>
      </c>
      <c r="C300" s="301">
        <v>2332</v>
      </c>
      <c r="D300" s="300"/>
      <c r="E300" s="369">
        <v>6</v>
      </c>
      <c r="F300" s="387">
        <v>6567</v>
      </c>
      <c r="G300" s="286">
        <v>13</v>
      </c>
      <c r="H300" s="250">
        <f>F300*E300</f>
        <v>39402</v>
      </c>
      <c r="I300" s="250">
        <f t="shared" si="33"/>
        <v>3940.2000000000003</v>
      </c>
      <c r="J300" s="248">
        <v>11557.92</v>
      </c>
      <c r="K300" s="248">
        <f t="shared" si="34"/>
        <v>4334.22</v>
      </c>
      <c r="L300" s="248"/>
      <c r="M300" s="248"/>
      <c r="N300" s="248"/>
      <c r="O300" s="248"/>
      <c r="P300" s="248"/>
      <c r="Q300" s="330"/>
      <c r="R300" s="290"/>
      <c r="S300" s="388"/>
      <c r="T300" s="237">
        <f>H300+I300+J300+K300+L300+M300+N300+O300+P300+Q300+R300+S300</f>
        <v>59234.34</v>
      </c>
      <c r="U300" s="237">
        <f t="shared" si="32"/>
        <v>112527.90911999998</v>
      </c>
    </row>
    <row r="301" spans="1:21" ht="31.5" customHeight="1">
      <c r="A301" s="240">
        <v>37</v>
      </c>
      <c r="B301" s="300" t="s">
        <v>299</v>
      </c>
      <c r="C301" s="301">
        <v>2332</v>
      </c>
      <c r="D301" s="300"/>
      <c r="E301" s="369">
        <v>1</v>
      </c>
      <c r="F301" s="387">
        <v>6133</v>
      </c>
      <c r="G301" s="286">
        <v>12</v>
      </c>
      <c r="H301" s="250">
        <f>F301*E301</f>
        <v>6133</v>
      </c>
      <c r="I301" s="250">
        <f t="shared" si="33"/>
        <v>613.3000000000001</v>
      </c>
      <c r="J301" s="481">
        <f>(H301+I301+L301+M301)*20%</f>
        <v>1349.2600000000002</v>
      </c>
      <c r="K301" s="481">
        <f t="shared" si="34"/>
        <v>674.6300000000001</v>
      </c>
      <c r="L301" s="248"/>
      <c r="M301" s="248"/>
      <c r="N301" s="248"/>
      <c r="O301" s="248"/>
      <c r="P301" s="248"/>
      <c r="Q301" s="330"/>
      <c r="R301" s="290"/>
      <c r="S301" s="388"/>
      <c r="T301" s="237">
        <f>H301+I301+J301+K301+L301+M301+N301+O301+P301+Q301+R301+S301</f>
        <v>8770.19</v>
      </c>
      <c r="U301" s="237">
        <f t="shared" si="32"/>
        <v>16989.88192</v>
      </c>
    </row>
    <row r="302" spans="1:21" ht="28.5" customHeight="1">
      <c r="A302" s="240">
        <v>38</v>
      </c>
      <c r="B302" s="300" t="s">
        <v>223</v>
      </c>
      <c r="C302" s="301">
        <v>2332</v>
      </c>
      <c r="D302" s="300"/>
      <c r="E302" s="248">
        <v>11</v>
      </c>
      <c r="F302" s="387">
        <v>5699</v>
      </c>
      <c r="G302" s="286">
        <v>11</v>
      </c>
      <c r="H302" s="250">
        <f>F302*E302</f>
        <v>62689</v>
      </c>
      <c r="I302" s="250">
        <f t="shared" si="33"/>
        <v>6268.900000000001</v>
      </c>
      <c r="J302" s="248">
        <v>13791.58</v>
      </c>
      <c r="K302" s="248">
        <v>6895.79</v>
      </c>
      <c r="L302" s="248"/>
      <c r="M302" s="248"/>
      <c r="N302" s="248"/>
      <c r="O302" s="248"/>
      <c r="P302" s="248"/>
      <c r="Q302" s="330"/>
      <c r="R302" s="290"/>
      <c r="S302" s="388"/>
      <c r="T302" s="237">
        <f>H302+I302+J302+K302+L302+M302+N302+O302+P302+Q302+R302+S302</f>
        <v>89645.26999999999</v>
      </c>
      <c r="U302" s="237">
        <f t="shared" si="32"/>
        <v>173663.57536</v>
      </c>
    </row>
    <row r="303" spans="1:21" ht="18" customHeight="1" hidden="1">
      <c r="A303" s="240">
        <v>36</v>
      </c>
      <c r="B303" s="300"/>
      <c r="C303" s="301"/>
      <c r="D303" s="300"/>
      <c r="E303" s="248"/>
      <c r="F303" s="387"/>
      <c r="G303" s="286"/>
      <c r="H303" s="250"/>
      <c r="I303" s="250"/>
      <c r="J303" s="248"/>
      <c r="K303" s="248"/>
      <c r="L303" s="248"/>
      <c r="M303" s="248"/>
      <c r="N303" s="248"/>
      <c r="O303" s="248"/>
      <c r="P303" s="248"/>
      <c r="Q303" s="330"/>
      <c r="R303" s="290"/>
      <c r="S303" s="388"/>
      <c r="T303" s="237">
        <f>H303+I303+J303+K303+L303+M303+N303+O303+P303+Q303+R303+S303</f>
        <v>0</v>
      </c>
      <c r="U303" s="237">
        <f t="shared" si="32"/>
        <v>0</v>
      </c>
    </row>
    <row r="304" spans="1:21" ht="19.5" customHeight="1">
      <c r="A304" s="240">
        <v>39</v>
      </c>
      <c r="B304" s="300" t="s">
        <v>123</v>
      </c>
      <c r="C304" s="301">
        <v>2340</v>
      </c>
      <c r="D304" s="300"/>
      <c r="E304" s="369">
        <v>0.5</v>
      </c>
      <c r="F304" s="387">
        <v>5699</v>
      </c>
      <c r="G304" s="286">
        <v>11</v>
      </c>
      <c r="H304" s="250">
        <f t="shared" si="31"/>
        <v>2849.5</v>
      </c>
      <c r="I304" s="250">
        <f t="shared" si="33"/>
        <v>284.95</v>
      </c>
      <c r="J304" s="248">
        <f>(H304+I304+M304)*10%</f>
        <v>370.435</v>
      </c>
      <c r="K304" s="248">
        <f t="shared" si="34"/>
        <v>370.435</v>
      </c>
      <c r="L304" s="248"/>
      <c r="M304" s="248">
        <f>H304*20%</f>
        <v>569.9</v>
      </c>
      <c r="N304" s="248"/>
      <c r="O304" s="248"/>
      <c r="P304" s="248"/>
      <c r="Q304" s="330"/>
      <c r="R304" s="290"/>
      <c r="S304" s="388"/>
      <c r="T304" s="237">
        <f t="shared" si="35"/>
        <v>4445.219999999999</v>
      </c>
      <c r="U304" s="237">
        <f t="shared" si="32"/>
        <v>8326.46696</v>
      </c>
    </row>
    <row r="305" spans="1:22" ht="22.5" customHeight="1">
      <c r="A305" s="240">
        <v>40</v>
      </c>
      <c r="B305" s="300" t="s">
        <v>231</v>
      </c>
      <c r="C305" s="301" t="s">
        <v>211</v>
      </c>
      <c r="D305" s="300"/>
      <c r="E305" s="369">
        <v>1</v>
      </c>
      <c r="F305" s="387">
        <v>5265</v>
      </c>
      <c r="G305" s="286">
        <v>10</v>
      </c>
      <c r="H305" s="250">
        <f t="shared" si="31"/>
        <v>5265</v>
      </c>
      <c r="I305" s="250">
        <f t="shared" si="33"/>
        <v>526.5</v>
      </c>
      <c r="J305" s="248">
        <v>579.15</v>
      </c>
      <c r="K305" s="248">
        <f t="shared" si="34"/>
        <v>579.15</v>
      </c>
      <c r="L305" s="248"/>
      <c r="M305" s="248"/>
      <c r="N305" s="248"/>
      <c r="O305" s="248"/>
      <c r="P305" s="248"/>
      <c r="Q305" s="330"/>
      <c r="R305" s="290"/>
      <c r="S305" s="388"/>
      <c r="T305" s="237">
        <f t="shared" si="35"/>
        <v>6949.799999999999</v>
      </c>
      <c r="U305" s="237">
        <f t="shared" si="32"/>
        <v>13908.866399999999</v>
      </c>
      <c r="V305" s="349"/>
    </row>
    <row r="306" spans="1:21" ht="35.25" customHeight="1">
      <c r="A306" s="240">
        <v>41</v>
      </c>
      <c r="B306" s="520" t="s">
        <v>300</v>
      </c>
      <c r="C306" s="221">
        <v>5131</v>
      </c>
      <c r="D306" s="520"/>
      <c r="E306" s="248">
        <f>13-2.25</f>
        <v>10.75</v>
      </c>
      <c r="F306" s="387">
        <v>4195</v>
      </c>
      <c r="G306" s="286">
        <v>6</v>
      </c>
      <c r="H306" s="250">
        <f t="shared" si="31"/>
        <v>45096.25</v>
      </c>
      <c r="I306" s="250"/>
      <c r="J306" s="248"/>
      <c r="K306" s="248"/>
      <c r="L306" s="248"/>
      <c r="M306" s="248"/>
      <c r="N306" s="248"/>
      <c r="O306" s="248"/>
      <c r="P306" s="248"/>
      <c r="Q306" s="330"/>
      <c r="R306" s="290"/>
      <c r="S306" s="388">
        <f>6700*E306-H306-I306-J306-K306-L306-M306-N306-R306</f>
        <v>26928.75</v>
      </c>
      <c r="T306" s="237">
        <f t="shared" si="35"/>
        <v>72025</v>
      </c>
      <c r="U306" s="237">
        <f>T306*1.168+H306</f>
        <v>129221.45</v>
      </c>
    </row>
    <row r="307" spans="1:21" ht="38.25" customHeight="1">
      <c r="A307" s="521">
        <v>42</v>
      </c>
      <c r="B307" s="267" t="s">
        <v>301</v>
      </c>
      <c r="C307" s="221">
        <v>5131</v>
      </c>
      <c r="D307" s="267"/>
      <c r="E307" s="248">
        <v>3</v>
      </c>
      <c r="F307" s="387">
        <v>4195</v>
      </c>
      <c r="G307" s="286">
        <v>6</v>
      </c>
      <c r="H307" s="250">
        <f t="shared" si="31"/>
        <v>12585</v>
      </c>
      <c r="I307" s="250"/>
      <c r="J307" s="248"/>
      <c r="K307" s="248"/>
      <c r="L307" s="248"/>
      <c r="M307" s="248"/>
      <c r="N307" s="248"/>
      <c r="O307" s="248"/>
      <c r="P307" s="248"/>
      <c r="Q307" s="330"/>
      <c r="R307" s="290"/>
      <c r="S307" s="388">
        <f aca="true" t="shared" si="36" ref="S307:S315">6700*E307-H307-I307-J307-K307-L307-M307-N307-R307</f>
        <v>7515</v>
      </c>
      <c r="T307" s="237">
        <f t="shared" si="35"/>
        <v>20100</v>
      </c>
      <c r="U307" s="237">
        <f aca="true" t="shared" si="37" ref="U307:U317">T307*1.168+H307</f>
        <v>36061.8</v>
      </c>
    </row>
    <row r="308" spans="1:21" ht="19.5" customHeight="1">
      <c r="A308" s="240">
        <v>43</v>
      </c>
      <c r="B308" s="300" t="s">
        <v>8</v>
      </c>
      <c r="C308" s="301">
        <v>5122</v>
      </c>
      <c r="D308" s="300"/>
      <c r="E308" s="369">
        <v>5</v>
      </c>
      <c r="F308" s="387">
        <v>3934</v>
      </c>
      <c r="G308" s="286">
        <v>5</v>
      </c>
      <c r="H308" s="250">
        <f t="shared" si="31"/>
        <v>19670</v>
      </c>
      <c r="I308" s="250"/>
      <c r="J308" s="248"/>
      <c r="K308" s="248"/>
      <c r="L308" s="248"/>
      <c r="M308" s="248"/>
      <c r="N308" s="248"/>
      <c r="O308" s="248">
        <f>F308*E308*12%</f>
        <v>2360.4</v>
      </c>
      <c r="P308" s="248"/>
      <c r="Q308" s="330"/>
      <c r="R308" s="290">
        <f>F308*E308*15%</f>
        <v>2950.5</v>
      </c>
      <c r="S308" s="388">
        <f t="shared" si="36"/>
        <v>10879.5</v>
      </c>
      <c r="T308" s="237">
        <f t="shared" si="35"/>
        <v>35860.4</v>
      </c>
      <c r="U308" s="237">
        <f t="shared" si="37"/>
        <v>61554.9472</v>
      </c>
    </row>
    <row r="309" spans="1:21" ht="17.25" customHeight="1">
      <c r="A309" s="240">
        <v>44</v>
      </c>
      <c r="B309" s="522" t="s">
        <v>128</v>
      </c>
      <c r="C309" s="221">
        <v>9132</v>
      </c>
      <c r="D309" s="300"/>
      <c r="E309" s="369">
        <v>1.5</v>
      </c>
      <c r="F309" s="387">
        <v>2893</v>
      </c>
      <c r="G309" s="286">
        <v>1</v>
      </c>
      <c r="H309" s="250">
        <f t="shared" si="31"/>
        <v>4339.5</v>
      </c>
      <c r="I309" s="250"/>
      <c r="J309" s="248"/>
      <c r="K309" s="248"/>
      <c r="L309" s="248"/>
      <c r="M309" s="248"/>
      <c r="N309" s="248"/>
      <c r="O309" s="248">
        <f>F309*E309*12%</f>
        <v>520.74</v>
      </c>
      <c r="P309" s="248"/>
      <c r="Q309" s="330"/>
      <c r="R309" s="290">
        <f>F309*E309*15%</f>
        <v>650.925</v>
      </c>
      <c r="S309" s="388">
        <f t="shared" si="36"/>
        <v>5059.575</v>
      </c>
      <c r="T309" s="237">
        <f t="shared" si="35"/>
        <v>10570.74</v>
      </c>
      <c r="U309" s="237">
        <f t="shared" si="37"/>
        <v>16686.12432</v>
      </c>
    </row>
    <row r="310" spans="1:21" ht="34.5" customHeight="1">
      <c r="A310" s="240">
        <v>45</v>
      </c>
      <c r="B310" s="520" t="s">
        <v>302</v>
      </c>
      <c r="C310" s="221">
        <v>7129</v>
      </c>
      <c r="D310" s="520"/>
      <c r="E310" s="248">
        <v>1.5</v>
      </c>
      <c r="F310" s="387">
        <v>3674</v>
      </c>
      <c r="G310" s="286">
        <v>4</v>
      </c>
      <c r="H310" s="250">
        <f t="shared" si="31"/>
        <v>5511</v>
      </c>
      <c r="I310" s="250"/>
      <c r="J310" s="248"/>
      <c r="K310" s="248"/>
      <c r="L310" s="248"/>
      <c r="M310" s="248"/>
      <c r="N310" s="248"/>
      <c r="O310" s="248"/>
      <c r="P310" s="248"/>
      <c r="Q310" s="330"/>
      <c r="R310" s="290"/>
      <c r="S310" s="388">
        <f t="shared" si="36"/>
        <v>4539</v>
      </c>
      <c r="T310" s="237">
        <f t="shared" si="35"/>
        <v>10050</v>
      </c>
      <c r="U310" s="237">
        <f t="shared" si="37"/>
        <v>17249.4</v>
      </c>
    </row>
    <row r="311" spans="1:21" ht="30.75" customHeight="1">
      <c r="A311" s="240">
        <v>46</v>
      </c>
      <c r="B311" s="520" t="s">
        <v>303</v>
      </c>
      <c r="C311" s="221">
        <v>8264</v>
      </c>
      <c r="D311" s="520"/>
      <c r="E311" s="369">
        <v>2</v>
      </c>
      <c r="F311" s="387">
        <v>3153</v>
      </c>
      <c r="G311" s="286">
        <v>2</v>
      </c>
      <c r="H311" s="250">
        <f t="shared" si="31"/>
        <v>6306</v>
      </c>
      <c r="I311" s="250"/>
      <c r="J311" s="248"/>
      <c r="K311" s="248"/>
      <c r="L311" s="248"/>
      <c r="M311" s="248"/>
      <c r="N311" s="248"/>
      <c r="O311" s="248">
        <f>F311*E311*12%</f>
        <v>756.72</v>
      </c>
      <c r="P311" s="248"/>
      <c r="Q311" s="330"/>
      <c r="R311" s="290"/>
      <c r="S311" s="388">
        <f t="shared" si="36"/>
        <v>7094</v>
      </c>
      <c r="T311" s="237">
        <f t="shared" si="35"/>
        <v>14156.720000000001</v>
      </c>
      <c r="U311" s="237">
        <f t="shared" si="37"/>
        <v>22841.04896</v>
      </c>
    </row>
    <row r="312" spans="1:21" ht="18.75" customHeight="1">
      <c r="A312" s="240">
        <v>47</v>
      </c>
      <c r="B312" s="267" t="s">
        <v>56</v>
      </c>
      <c r="C312" s="221">
        <v>9162</v>
      </c>
      <c r="D312" s="267"/>
      <c r="E312" s="369">
        <v>1</v>
      </c>
      <c r="F312" s="387">
        <v>2893</v>
      </c>
      <c r="G312" s="286">
        <v>1</v>
      </c>
      <c r="H312" s="250">
        <f t="shared" si="31"/>
        <v>2893</v>
      </c>
      <c r="I312" s="250"/>
      <c r="J312" s="248"/>
      <c r="K312" s="248"/>
      <c r="L312" s="248"/>
      <c r="M312" s="248"/>
      <c r="N312" s="248"/>
      <c r="O312" s="248"/>
      <c r="P312" s="248"/>
      <c r="Q312" s="330"/>
      <c r="R312" s="290"/>
      <c r="S312" s="388">
        <f t="shared" si="36"/>
        <v>3807</v>
      </c>
      <c r="T312" s="237">
        <f t="shared" si="35"/>
        <v>6700</v>
      </c>
      <c r="U312" s="237">
        <f t="shared" si="37"/>
        <v>10718.599999999999</v>
      </c>
    </row>
    <row r="313" spans="1:21" ht="19.5" customHeight="1">
      <c r="A313" s="240">
        <v>48</v>
      </c>
      <c r="B313" s="267" t="s">
        <v>10</v>
      </c>
      <c r="C313" s="221">
        <v>9152</v>
      </c>
      <c r="D313" s="267"/>
      <c r="E313" s="248">
        <v>5</v>
      </c>
      <c r="F313" s="387">
        <v>3153</v>
      </c>
      <c r="G313" s="286">
        <v>2</v>
      </c>
      <c r="H313" s="250">
        <f t="shared" si="31"/>
        <v>15765</v>
      </c>
      <c r="I313" s="250"/>
      <c r="J313" s="248"/>
      <c r="K313" s="248"/>
      <c r="L313" s="248"/>
      <c r="M313" s="248"/>
      <c r="N313" s="248"/>
      <c r="O313" s="248"/>
      <c r="P313" s="248"/>
      <c r="Q313" s="290">
        <f>E313*F313*40%</f>
        <v>6306</v>
      </c>
      <c r="R313" s="290"/>
      <c r="S313" s="388">
        <f t="shared" si="36"/>
        <v>17735</v>
      </c>
      <c r="T313" s="237">
        <f t="shared" si="35"/>
        <v>39806</v>
      </c>
      <c r="U313" s="237">
        <f t="shared" si="37"/>
        <v>62258.407999999996</v>
      </c>
    </row>
    <row r="314" spans="1:21" ht="32.25" customHeight="1">
      <c r="A314" s="240">
        <v>49</v>
      </c>
      <c r="B314" s="267" t="s">
        <v>304</v>
      </c>
      <c r="C314" s="221">
        <v>9132</v>
      </c>
      <c r="D314" s="267"/>
      <c r="E314" s="369">
        <v>1.5</v>
      </c>
      <c r="F314" s="387">
        <v>3153</v>
      </c>
      <c r="G314" s="286">
        <v>2</v>
      </c>
      <c r="H314" s="250">
        <f t="shared" si="31"/>
        <v>4729.5</v>
      </c>
      <c r="I314" s="250"/>
      <c r="J314" s="248"/>
      <c r="K314" s="248"/>
      <c r="L314" s="248"/>
      <c r="M314" s="248"/>
      <c r="N314" s="248"/>
      <c r="O314" s="248"/>
      <c r="P314" s="248">
        <f>F314*10%*E314</f>
        <v>472.95000000000005</v>
      </c>
      <c r="Q314" s="330"/>
      <c r="R314" s="290"/>
      <c r="S314" s="388">
        <f t="shared" si="36"/>
        <v>5320.5</v>
      </c>
      <c r="T314" s="237">
        <f t="shared" si="35"/>
        <v>10522.95</v>
      </c>
      <c r="U314" s="237">
        <f t="shared" si="37"/>
        <v>17020.3056</v>
      </c>
    </row>
    <row r="315" spans="1:23" ht="15" customHeight="1">
      <c r="A315" s="240">
        <v>50</v>
      </c>
      <c r="B315" s="300" t="s">
        <v>12</v>
      </c>
      <c r="C315" s="301">
        <v>4131</v>
      </c>
      <c r="D315" s="300"/>
      <c r="E315" s="369">
        <v>1</v>
      </c>
      <c r="F315" s="387">
        <v>3153</v>
      </c>
      <c r="G315" s="286">
        <v>2</v>
      </c>
      <c r="H315" s="250">
        <f t="shared" si="31"/>
        <v>3153</v>
      </c>
      <c r="I315" s="250"/>
      <c r="J315" s="248"/>
      <c r="K315" s="248"/>
      <c r="L315" s="248"/>
      <c r="M315" s="248"/>
      <c r="N315" s="248"/>
      <c r="O315" s="248"/>
      <c r="P315" s="248"/>
      <c r="Q315" s="330"/>
      <c r="R315" s="290"/>
      <c r="S315" s="388">
        <f t="shared" si="36"/>
        <v>3547</v>
      </c>
      <c r="T315" s="237">
        <f>H315+I315+J315+K315+L315+M315+N315+O315+P315+Q315+R315+S315</f>
        <v>6700</v>
      </c>
      <c r="U315" s="237">
        <f t="shared" si="37"/>
        <v>10978.599999999999</v>
      </c>
      <c r="V315" s="349"/>
      <c r="W315" s="204"/>
    </row>
    <row r="316" spans="1:23" ht="13.5" customHeight="1" hidden="1">
      <c r="A316" s="240">
        <v>22</v>
      </c>
      <c r="B316" s="252"/>
      <c r="C316" s="253"/>
      <c r="D316" s="252"/>
      <c r="E316" s="248"/>
      <c r="F316" s="387">
        <v>2094</v>
      </c>
      <c r="G316" s="286"/>
      <c r="H316" s="286"/>
      <c r="I316" s="286"/>
      <c r="J316" s="248"/>
      <c r="K316" s="248"/>
      <c r="L316" s="248"/>
      <c r="M316" s="248"/>
      <c r="N316" s="248"/>
      <c r="O316" s="248"/>
      <c r="P316" s="248"/>
      <c r="Q316" s="330"/>
      <c r="R316" s="290"/>
      <c r="S316" s="388">
        <f>6500*E316-H316-I316-J316-K316-L316-M316-N316-R316</f>
        <v>0</v>
      </c>
      <c r="T316" s="237"/>
      <c r="U316" s="237">
        <f t="shared" si="37"/>
        <v>0</v>
      </c>
      <c r="W316" s="204"/>
    </row>
    <row r="317" spans="1:22" ht="21.75" customHeight="1">
      <c r="A317" s="453"/>
      <c r="B317" s="317" t="s">
        <v>305</v>
      </c>
      <c r="C317" s="318"/>
      <c r="D317" s="317"/>
      <c r="E317" s="248">
        <f>E292+E293+E294+E295+E296+E297+E298+E299+E300+E301+E302+E303+E304+E305+E306+E307+E308+E309+E310+E311+E312+E313+E314+E315</f>
        <v>64.25</v>
      </c>
      <c r="F317" s="290"/>
      <c r="G317" s="290"/>
      <c r="H317" s="290">
        <f>SUM(H290:H316)</f>
        <v>308060.75</v>
      </c>
      <c r="I317" s="290">
        <f aca="true" t="shared" si="38" ref="I317:R317">SUM(I290:I316)</f>
        <v>17382.875</v>
      </c>
      <c r="J317" s="290">
        <f t="shared" si="38"/>
        <v>44418.8925</v>
      </c>
      <c r="K317" s="290">
        <f t="shared" si="38"/>
        <v>19178.152500000004</v>
      </c>
      <c r="L317" s="290">
        <f t="shared" si="38"/>
        <v>0</v>
      </c>
      <c r="M317" s="331">
        <f t="shared" si="38"/>
        <v>1513.85</v>
      </c>
      <c r="N317" s="290">
        <f t="shared" si="38"/>
        <v>0</v>
      </c>
      <c r="O317" s="290">
        <f t="shared" si="38"/>
        <v>3637.8600000000006</v>
      </c>
      <c r="P317" s="290">
        <f t="shared" si="38"/>
        <v>472.95000000000005</v>
      </c>
      <c r="Q317" s="290">
        <f t="shared" si="38"/>
        <v>6306</v>
      </c>
      <c r="R317" s="290">
        <f t="shared" si="38"/>
        <v>5973.925</v>
      </c>
      <c r="S317" s="388">
        <f>6500*E317-H317-I317-J317-K317-L317-M317-N317-R317</f>
        <v>21096.554999999997</v>
      </c>
      <c r="T317" s="290">
        <f>SUM(T290:T316)</f>
        <v>502449.18</v>
      </c>
      <c r="U317" s="237">
        <f t="shared" si="37"/>
        <v>894921.39224</v>
      </c>
      <c r="V317" s="349"/>
    </row>
    <row r="318" spans="1:21" ht="21" customHeight="1">
      <c r="A318" s="453"/>
      <c r="B318" s="303" t="s">
        <v>306</v>
      </c>
      <c r="C318" s="302"/>
      <c r="D318" s="303"/>
      <c r="E318" s="248">
        <f>E275+E317</f>
        <v>144.5</v>
      </c>
      <c r="F318" s="303"/>
      <c r="G318" s="300"/>
      <c r="H318" s="489">
        <f>H317+H275</f>
        <v>790972.89</v>
      </c>
      <c r="I318" s="489">
        <f>I317+I275</f>
        <v>56443.170000000006</v>
      </c>
      <c r="J318" s="489">
        <f>J275+J317</f>
        <v>141568.11549999999</v>
      </c>
      <c r="K318" s="489">
        <f>K317+K275</f>
        <v>93267.14075000002</v>
      </c>
      <c r="L318" s="523">
        <f>L275</f>
        <v>919.9499999999999</v>
      </c>
      <c r="M318" s="489">
        <f>M317+M275+O255+P255+Q255</f>
        <v>78269.09</v>
      </c>
      <c r="N318" s="524">
        <f>N275</f>
        <v>0</v>
      </c>
      <c r="O318" s="489">
        <f>O317+R275</f>
        <v>5432.58</v>
      </c>
      <c r="P318" s="489">
        <f>P317+S275</f>
        <v>3468.3</v>
      </c>
      <c r="Q318" s="489">
        <f>T275+Q317</f>
        <v>9459</v>
      </c>
      <c r="R318" s="489">
        <f>R317+U275</f>
        <v>11956.3975</v>
      </c>
      <c r="S318" s="361">
        <f>S317+V275</f>
        <v>91460.655</v>
      </c>
      <c r="T318" s="248">
        <f>T317+W275</f>
        <v>1357624.6587500002</v>
      </c>
      <c r="U318" s="290" t="e">
        <f>U317+#REF!</f>
        <v>#REF!</v>
      </c>
    </row>
    <row r="319" spans="1:21" ht="1.5" customHeight="1" hidden="1">
      <c r="A319" s="409"/>
      <c r="B319" s="352"/>
      <c r="C319" s="351"/>
      <c r="D319" s="352"/>
      <c r="E319" s="352"/>
      <c r="F319" s="352"/>
      <c r="G319" s="352"/>
      <c r="H319" s="352"/>
      <c r="I319" s="352"/>
      <c r="J319" s="352"/>
      <c r="K319" s="352"/>
      <c r="L319" s="352"/>
      <c r="M319" s="352"/>
      <c r="N319" s="352"/>
      <c r="O319" s="352"/>
      <c r="P319" s="352"/>
      <c r="Q319" s="352"/>
      <c r="R319" s="352"/>
      <c r="S319" s="352"/>
      <c r="T319" s="352"/>
      <c r="U319" s="352"/>
    </row>
    <row r="320" spans="1:21" ht="44.25" customHeight="1">
      <c r="A320" s="459"/>
      <c r="B320" s="202"/>
      <c r="C320" s="525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526"/>
      <c r="U320" s="526"/>
    </row>
    <row r="321" spans="1:23" ht="18" customHeight="1">
      <c r="A321" s="197"/>
      <c r="B321" s="341"/>
      <c r="C321" s="342"/>
      <c r="D321" s="341"/>
      <c r="E321" s="343"/>
      <c r="F321" s="214" t="s">
        <v>169</v>
      </c>
      <c r="G321" s="344"/>
      <c r="H321" s="344"/>
      <c r="I321" s="344"/>
      <c r="J321" s="345"/>
      <c r="K321" s="346"/>
      <c r="L321" s="346"/>
      <c r="M321" s="346"/>
      <c r="N321" s="346"/>
      <c r="O321" s="346"/>
      <c r="P321" s="346"/>
      <c r="Q321" s="346"/>
      <c r="R321" s="346" t="s">
        <v>170</v>
      </c>
      <c r="S321" s="346"/>
      <c r="T321" s="340"/>
      <c r="U321" s="340"/>
      <c r="V321" s="340"/>
      <c r="W321" s="340"/>
    </row>
    <row r="323" spans="1:23" ht="18" customHeight="1">
      <c r="A323" s="197"/>
      <c r="B323" s="341"/>
      <c r="C323" s="342"/>
      <c r="D323" s="341"/>
      <c r="E323" s="343"/>
      <c r="F323" s="214" t="s">
        <v>234</v>
      </c>
      <c r="G323" s="344"/>
      <c r="H323" s="344"/>
      <c r="I323" s="344"/>
      <c r="J323" s="345"/>
      <c r="K323" s="346"/>
      <c r="L323" s="346"/>
      <c r="M323" s="346"/>
      <c r="N323" s="346"/>
      <c r="O323" s="346"/>
      <c r="P323" s="346"/>
      <c r="Q323" s="346"/>
      <c r="R323" s="346" t="s">
        <v>167</v>
      </c>
      <c r="S323" s="346"/>
      <c r="T323" s="340"/>
      <c r="U323" s="340"/>
      <c r="V323" s="340"/>
      <c r="W323" s="340"/>
    </row>
    <row r="324" spans="1:23" ht="16.5" customHeight="1">
      <c r="A324" s="197"/>
      <c r="B324" s="204"/>
      <c r="C324" s="217"/>
      <c r="D324" s="204"/>
      <c r="E324" s="204"/>
      <c r="F324" s="204"/>
      <c r="G324" s="218"/>
      <c r="H324" s="218"/>
      <c r="I324" s="218"/>
      <c r="J324" s="204"/>
      <c r="K324" s="204"/>
      <c r="L324" s="204"/>
      <c r="M324" s="204"/>
      <c r="N324" s="204"/>
      <c r="O324" s="204"/>
      <c r="P324" s="204"/>
      <c r="Q324" s="204"/>
      <c r="R324" s="202" t="s">
        <v>307</v>
      </c>
      <c r="T324" s="204"/>
      <c r="U324" s="204"/>
      <c r="V324" s="527"/>
      <c r="W324" s="527"/>
    </row>
    <row r="325" spans="1:23" ht="20.25" customHeight="1">
      <c r="A325" s="197"/>
      <c r="B325" s="198"/>
      <c r="C325" s="199"/>
      <c r="D325" s="198"/>
      <c r="E325" s="198"/>
      <c r="F325" s="198"/>
      <c r="G325" s="200"/>
      <c r="H325" s="200"/>
      <c r="I325" s="200"/>
      <c r="J325" s="198"/>
      <c r="K325" s="201"/>
      <c r="L325" s="198"/>
      <c r="M325" s="198"/>
      <c r="N325" s="198"/>
      <c r="O325" s="198"/>
      <c r="P325" s="198"/>
      <c r="Q325" s="198"/>
      <c r="R325" s="929" t="s">
        <v>172</v>
      </c>
      <c r="S325" s="929"/>
      <c r="T325" s="929"/>
      <c r="U325" s="929"/>
      <c r="V325" s="929"/>
      <c r="W325" s="207"/>
    </row>
    <row r="326" spans="1:23" ht="39.75" customHeight="1">
      <c r="A326" s="197"/>
      <c r="B326" s="198"/>
      <c r="C326" s="199"/>
      <c r="D326" s="198"/>
      <c r="E326" s="198"/>
      <c r="F326" s="198"/>
      <c r="G326" s="200"/>
      <c r="H326" s="200"/>
      <c r="I326" s="200"/>
      <c r="J326" s="198"/>
      <c r="K326" s="201"/>
      <c r="L326" s="198"/>
      <c r="M326" s="198"/>
      <c r="N326" s="198"/>
      <c r="O326" s="198"/>
      <c r="P326" s="198"/>
      <c r="Q326" s="198"/>
      <c r="R326" s="930" t="s">
        <v>173</v>
      </c>
      <c r="S326" s="930"/>
      <c r="T326" s="930"/>
      <c r="U326" s="930"/>
      <c r="V326" s="930"/>
      <c r="W326" s="208"/>
    </row>
    <row r="327" spans="1:23" ht="26.25" customHeight="1">
      <c r="A327" s="197"/>
      <c r="B327" s="198"/>
      <c r="C327" s="199"/>
      <c r="D327" s="198"/>
      <c r="E327" s="198"/>
      <c r="F327" s="198"/>
      <c r="G327" s="200"/>
      <c r="H327" s="200"/>
      <c r="I327" s="200"/>
      <c r="J327" s="198"/>
      <c r="K327" s="198"/>
      <c r="L327" s="198"/>
      <c r="M327" s="204"/>
      <c r="N327" s="204"/>
      <c r="O327" s="204"/>
      <c r="P327" s="204"/>
      <c r="Q327" s="204"/>
      <c r="R327" s="931" t="s">
        <v>174</v>
      </c>
      <c r="S327" s="931"/>
      <c r="T327" s="931"/>
      <c r="U327" s="931"/>
      <c r="V327" s="931"/>
      <c r="W327" s="210"/>
    </row>
    <row r="328" spans="1:23" ht="24" customHeight="1" hidden="1">
      <c r="A328" s="197"/>
      <c r="B328" s="204"/>
      <c r="C328" s="217"/>
      <c r="D328" s="204"/>
      <c r="E328" s="204"/>
      <c r="F328" s="204"/>
      <c r="G328" s="218"/>
      <c r="H328" s="218"/>
      <c r="I328" s="218"/>
      <c r="J328" s="204"/>
      <c r="K328" s="204"/>
      <c r="L328" s="204"/>
      <c r="M328" s="204"/>
      <c r="N328" s="204"/>
      <c r="O328" s="204"/>
      <c r="P328" s="204"/>
      <c r="Q328" s="204"/>
      <c r="R328" s="528"/>
      <c r="S328" s="528"/>
      <c r="T328" s="528"/>
      <c r="U328" s="529"/>
      <c r="V328" s="529"/>
      <c r="W328" s="210"/>
    </row>
    <row r="329" spans="1:23" ht="16.5" customHeight="1" hidden="1">
      <c r="A329" s="197"/>
      <c r="B329" s="204"/>
      <c r="C329" s="217"/>
      <c r="D329" s="204"/>
      <c r="E329" s="204"/>
      <c r="F329" s="204"/>
      <c r="G329" s="218"/>
      <c r="H329" s="218"/>
      <c r="I329" s="218"/>
      <c r="J329" s="204"/>
      <c r="K329" s="204"/>
      <c r="L329" s="204"/>
      <c r="M329" s="204"/>
      <c r="N329" s="204"/>
      <c r="O329" s="204"/>
      <c r="P329" s="204"/>
      <c r="Q329" s="204"/>
      <c r="R329" s="402"/>
      <c r="S329" s="210"/>
      <c r="T329" s="210"/>
      <c r="U329" s="210"/>
      <c r="V329" s="210"/>
      <c r="W329" s="210"/>
    </row>
    <row r="330" spans="1:22" ht="15" customHeight="1" hidden="1">
      <c r="A330" s="197"/>
      <c r="B330" s="1062"/>
      <c r="C330" s="1062"/>
      <c r="D330" s="1062"/>
      <c r="E330" s="1062"/>
      <c r="F330" s="1062"/>
      <c r="G330" s="1062"/>
      <c r="H330" s="419"/>
      <c r="I330" s="419"/>
      <c r="J330" s="204"/>
      <c r="K330" s="204"/>
      <c r="L330" s="204"/>
      <c r="M330" s="204"/>
      <c r="N330" s="204"/>
      <c r="O330" s="204"/>
      <c r="P330" s="204"/>
      <c r="Q330" s="204"/>
      <c r="V330" s="349"/>
    </row>
    <row r="331" spans="1:23" ht="34.5" customHeight="1">
      <c r="A331" s="197"/>
      <c r="B331" s="204"/>
      <c r="C331" s="217"/>
      <c r="D331" s="204"/>
      <c r="E331" s="204"/>
      <c r="F331" s="204"/>
      <c r="G331" s="218"/>
      <c r="H331" s="218"/>
      <c r="I331" s="218"/>
      <c r="J331" s="204"/>
      <c r="K331" s="204"/>
      <c r="L331" s="204"/>
      <c r="M331" s="204"/>
      <c r="N331" s="204"/>
      <c r="O331" s="204"/>
      <c r="P331" s="204"/>
      <c r="Q331" s="204"/>
      <c r="R331" s="929" t="s">
        <v>308</v>
      </c>
      <c r="S331" s="929"/>
      <c r="T331" s="929"/>
      <c r="U331" s="929"/>
      <c r="V331" s="929"/>
      <c r="W331" s="929"/>
    </row>
    <row r="332" spans="1:23" ht="21" customHeight="1">
      <c r="A332" s="197"/>
      <c r="B332" s="1030" t="s">
        <v>176</v>
      </c>
      <c r="C332" s="1030"/>
      <c r="D332" s="1030"/>
      <c r="E332" s="1030"/>
      <c r="F332" s="1030"/>
      <c r="G332" s="1030"/>
      <c r="H332" s="1030"/>
      <c r="I332" s="1030"/>
      <c r="J332" s="1030"/>
      <c r="K332" s="1030"/>
      <c r="L332" s="1030"/>
      <c r="M332" s="352"/>
      <c r="N332" s="352"/>
      <c r="O332" s="352"/>
      <c r="P332" s="204"/>
      <c r="Q332" s="204"/>
      <c r="S332" s="204"/>
      <c r="T332" s="204"/>
      <c r="U332" s="204"/>
      <c r="V332" s="204"/>
      <c r="W332" s="204"/>
    </row>
    <row r="333" spans="1:23" ht="26.25" customHeight="1">
      <c r="A333" s="197"/>
      <c r="B333" s="974" t="s">
        <v>309</v>
      </c>
      <c r="C333" s="974"/>
      <c r="D333" s="974"/>
      <c r="E333" s="974"/>
      <c r="F333" s="974"/>
      <c r="G333" s="974"/>
      <c r="H333" s="974"/>
      <c r="I333" s="974"/>
      <c r="J333" s="974"/>
      <c r="K333" s="974"/>
      <c r="L333" s="974"/>
      <c r="M333" s="974"/>
      <c r="N333" s="974"/>
      <c r="O333" s="974"/>
      <c r="P333" s="204"/>
      <c r="Q333" s="204"/>
      <c r="R333" s="204"/>
      <c r="S333" s="204"/>
      <c r="T333" s="204"/>
      <c r="U333" s="204"/>
      <c r="V333" s="204"/>
      <c r="W333" s="204"/>
    </row>
    <row r="334" spans="1:23" ht="13.5">
      <c r="A334" s="197"/>
      <c r="B334" s="975" t="s">
        <v>7</v>
      </c>
      <c r="C334" s="975"/>
      <c r="D334" s="975"/>
      <c r="E334" s="975"/>
      <c r="F334" s="975"/>
      <c r="G334" s="975"/>
      <c r="H334" s="975"/>
      <c r="I334" s="975"/>
      <c r="J334" s="975"/>
      <c r="K334" s="975"/>
      <c r="L334" s="975"/>
      <c r="M334" s="975"/>
      <c r="N334" s="352"/>
      <c r="O334" s="352"/>
      <c r="P334" s="204"/>
      <c r="Q334" s="204"/>
      <c r="R334" s="204"/>
      <c r="S334" s="204"/>
      <c r="T334" s="204"/>
      <c r="U334" s="204"/>
      <c r="V334" s="204"/>
      <c r="W334" s="204"/>
    </row>
    <row r="335" spans="1:23" ht="6.75" customHeight="1" hidden="1">
      <c r="A335" s="197"/>
      <c r="B335" s="204"/>
      <c r="C335" s="217"/>
      <c r="D335" s="204"/>
      <c r="E335" s="204"/>
      <c r="F335" s="204"/>
      <c r="G335" s="218"/>
      <c r="H335" s="218"/>
      <c r="I335" s="218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</row>
    <row r="336" spans="1:23" ht="13.5">
      <c r="A336" s="197"/>
      <c r="B336" s="975" t="s">
        <v>310</v>
      </c>
      <c r="C336" s="975"/>
      <c r="D336" s="975"/>
      <c r="E336" s="975"/>
      <c r="F336" s="975"/>
      <c r="G336" s="218"/>
      <c r="H336" s="218"/>
      <c r="I336" s="218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</row>
    <row r="337" spans="1:23" ht="10.5" customHeight="1" hidden="1">
      <c r="A337" s="197"/>
      <c r="B337" s="204"/>
      <c r="C337" s="217"/>
      <c r="D337" s="204"/>
      <c r="E337" s="204"/>
      <c r="F337" s="204"/>
      <c r="G337" s="218"/>
      <c r="H337" s="218"/>
      <c r="I337" s="218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</row>
    <row r="338" spans="1:23" ht="12.75" customHeight="1">
      <c r="A338" s="1063" t="s">
        <v>0</v>
      </c>
      <c r="B338" s="353" t="s">
        <v>1</v>
      </c>
      <c r="C338" s="937" t="s">
        <v>117</v>
      </c>
      <c r="D338" s="937" t="s">
        <v>184</v>
      </c>
      <c r="E338" s="354" t="s">
        <v>2</v>
      </c>
      <c r="F338" s="940" t="s">
        <v>34</v>
      </c>
      <c r="G338" s="940" t="s">
        <v>35</v>
      </c>
      <c r="H338" s="944" t="s">
        <v>58</v>
      </c>
      <c r="I338" s="1012" t="s">
        <v>39</v>
      </c>
      <c r="J338" s="1015" t="s">
        <v>33</v>
      </c>
      <c r="K338" s="1016"/>
      <c r="L338" s="1016"/>
      <c r="M338" s="1016"/>
      <c r="N338" s="424"/>
      <c r="O338" s="1015" t="s">
        <v>5</v>
      </c>
      <c r="P338" s="1016"/>
      <c r="Q338" s="1016"/>
      <c r="R338" s="1016"/>
      <c r="S338" s="1016"/>
      <c r="T338" s="1016"/>
      <c r="U338" s="1016"/>
      <c r="V338" s="948" t="s">
        <v>100</v>
      </c>
      <c r="W338" s="951" t="s">
        <v>185</v>
      </c>
    </row>
    <row r="339" spans="1:23" ht="12.75" customHeight="1">
      <c r="A339" s="1064"/>
      <c r="B339" s="355" t="s">
        <v>186</v>
      </c>
      <c r="C339" s="938"/>
      <c r="D339" s="938"/>
      <c r="E339" s="355" t="s">
        <v>3</v>
      </c>
      <c r="F339" s="940"/>
      <c r="G339" s="940"/>
      <c r="H339" s="944"/>
      <c r="I339" s="1013"/>
      <c r="J339" s="1065" t="s">
        <v>187</v>
      </c>
      <c r="K339" s="956" t="s">
        <v>311</v>
      </c>
      <c r="L339" s="1067" t="s">
        <v>312</v>
      </c>
      <c r="M339" s="948" t="s">
        <v>313</v>
      </c>
      <c r="N339" s="1070" t="s">
        <v>191</v>
      </c>
      <c r="O339" s="962" t="s">
        <v>192</v>
      </c>
      <c r="P339" s="962" t="s">
        <v>193</v>
      </c>
      <c r="Q339" s="963" t="s">
        <v>194</v>
      </c>
      <c r="R339" s="1027" t="s">
        <v>244</v>
      </c>
      <c r="S339" s="957" t="s">
        <v>20</v>
      </c>
      <c r="T339" s="1028" t="s">
        <v>51</v>
      </c>
      <c r="U339" s="1067" t="s">
        <v>261</v>
      </c>
      <c r="V339" s="949"/>
      <c r="W339" s="952"/>
    </row>
    <row r="340" spans="1:23" ht="13.5">
      <c r="A340" s="1064"/>
      <c r="B340" s="355"/>
      <c r="C340" s="938"/>
      <c r="D340" s="938"/>
      <c r="E340" s="355" t="s">
        <v>4</v>
      </c>
      <c r="F340" s="940"/>
      <c r="G340" s="940"/>
      <c r="H340" s="944"/>
      <c r="I340" s="1013"/>
      <c r="J340" s="1065"/>
      <c r="K340" s="957"/>
      <c r="L340" s="1068"/>
      <c r="M340" s="949"/>
      <c r="N340" s="1042"/>
      <c r="O340" s="962"/>
      <c r="P340" s="962"/>
      <c r="Q340" s="964"/>
      <c r="R340" s="966"/>
      <c r="S340" s="957"/>
      <c r="T340" s="968"/>
      <c r="U340" s="1068"/>
      <c r="V340" s="949"/>
      <c r="W340" s="952"/>
    </row>
    <row r="341" spans="1:23" ht="13.5">
      <c r="A341" s="532"/>
      <c r="B341" s="355"/>
      <c r="C341" s="938"/>
      <c r="D341" s="938"/>
      <c r="E341" s="355"/>
      <c r="F341" s="940"/>
      <c r="G341" s="940"/>
      <c r="H341" s="944"/>
      <c r="I341" s="1013"/>
      <c r="J341" s="1065"/>
      <c r="K341" s="957"/>
      <c r="L341" s="1068"/>
      <c r="M341" s="949"/>
      <c r="N341" s="1042"/>
      <c r="O341" s="962"/>
      <c r="P341" s="962"/>
      <c r="Q341" s="964"/>
      <c r="R341" s="966"/>
      <c r="S341" s="957"/>
      <c r="T341" s="968"/>
      <c r="U341" s="1068"/>
      <c r="V341" s="949"/>
      <c r="W341" s="952"/>
    </row>
    <row r="342" spans="1:23" ht="138.75" customHeight="1">
      <c r="A342" s="533"/>
      <c r="B342" s="357"/>
      <c r="C342" s="939"/>
      <c r="D342" s="939"/>
      <c r="E342" s="426"/>
      <c r="F342" s="940"/>
      <c r="G342" s="940"/>
      <c r="H342" s="944"/>
      <c r="I342" s="1014"/>
      <c r="J342" s="1066"/>
      <c r="K342" s="958"/>
      <c r="L342" s="1069"/>
      <c r="M342" s="950"/>
      <c r="N342" s="1043"/>
      <c r="O342" s="962"/>
      <c r="P342" s="962"/>
      <c r="Q342" s="965"/>
      <c r="R342" s="967"/>
      <c r="S342" s="958"/>
      <c r="T342" s="969"/>
      <c r="U342" s="1069"/>
      <c r="V342" s="950"/>
      <c r="W342" s="953"/>
    </row>
    <row r="343" spans="1:23" ht="21" customHeight="1">
      <c r="A343" s="240">
        <v>1</v>
      </c>
      <c r="B343" s="300" t="s">
        <v>262</v>
      </c>
      <c r="C343" s="301" t="s">
        <v>118</v>
      </c>
      <c r="D343" s="300"/>
      <c r="E343" s="369">
        <v>1</v>
      </c>
      <c r="F343" s="248">
        <v>8679</v>
      </c>
      <c r="G343" s="359">
        <v>17</v>
      </c>
      <c r="H343" s="360">
        <f>F343*E343</f>
        <v>8679</v>
      </c>
      <c r="I343" s="360">
        <f>H343*10%</f>
        <v>867.9000000000001</v>
      </c>
      <c r="J343" s="489">
        <f>(H343+I343+M343+N343+L343)*30%</f>
        <v>3384.81</v>
      </c>
      <c r="K343" s="489">
        <f>(H343+I343+L343+N343)*20%</f>
        <v>2256.5400000000004</v>
      </c>
      <c r="L343" s="489">
        <f>H343*20%</f>
        <v>1735.8000000000002</v>
      </c>
      <c r="M343" s="489"/>
      <c r="N343" s="489"/>
      <c r="O343" s="489"/>
      <c r="P343" s="489"/>
      <c r="Q343" s="489"/>
      <c r="R343" s="248"/>
      <c r="S343" s="248"/>
      <c r="T343" s="248"/>
      <c r="U343" s="248"/>
      <c r="V343" s="361"/>
      <c r="W343" s="248">
        <f>H343+I343+J343+K343+L343+M343+N343+O343+P343+Q343+R343+S343+T343+U343+V343</f>
        <v>16924.05</v>
      </c>
    </row>
    <row r="344" spans="1:23" ht="18" customHeight="1" hidden="1">
      <c r="A344" s="268"/>
      <c r="B344" s="535"/>
      <c r="C344" s="536"/>
      <c r="D344" s="535"/>
      <c r="E344" s="537"/>
      <c r="F344" s="538"/>
      <c r="G344" s="1071" t="s">
        <v>314</v>
      </c>
      <c r="H344" s="539"/>
      <c r="I344" s="539"/>
      <c r="J344" s="540"/>
      <c r="K344" s="489">
        <f>(H344+I344+L344+N344)*20%</f>
        <v>0</v>
      </c>
      <c r="L344" s="489">
        <f>H344*20%</f>
        <v>0</v>
      </c>
      <c r="M344" s="499"/>
      <c r="N344" s="499"/>
      <c r="O344" s="499"/>
      <c r="P344" s="499"/>
      <c r="Q344" s="499"/>
      <c r="R344" s="443"/>
      <c r="S344" s="443"/>
      <c r="T344" s="443"/>
      <c r="U344" s="541"/>
      <c r="V344" s="542"/>
      <c r="W344" s="541"/>
    </row>
    <row r="345" spans="1:23" ht="30.75" customHeight="1">
      <c r="A345" s="228">
        <v>2</v>
      </c>
      <c r="B345" s="506" t="s">
        <v>315</v>
      </c>
      <c r="C345" s="365" t="s">
        <v>118</v>
      </c>
      <c r="D345" s="506"/>
      <c r="E345" s="358">
        <v>2.5</v>
      </c>
      <c r="F345" s="470">
        <f>F343*95%</f>
        <v>8245.05</v>
      </c>
      <c r="G345" s="1072"/>
      <c r="H345" s="543">
        <f>F345*E345</f>
        <v>20612.625</v>
      </c>
      <c r="I345" s="543">
        <f aca="true" t="shared" si="39" ref="I345:I360">H345*10%</f>
        <v>2061.2625000000003</v>
      </c>
      <c r="J345" s="504">
        <v>6389.92</v>
      </c>
      <c r="K345" s="489">
        <v>4184.36</v>
      </c>
      <c r="L345" s="489">
        <f>1649.01</f>
        <v>1649.01</v>
      </c>
      <c r="M345" s="499"/>
      <c r="N345" s="504"/>
      <c r="O345" s="504"/>
      <c r="P345" s="504"/>
      <c r="Q345" s="504"/>
      <c r="R345" s="237"/>
      <c r="S345" s="237"/>
      <c r="T345" s="472"/>
      <c r="U345" s="544"/>
      <c r="V345" s="545"/>
      <c r="W345" s="237">
        <f>H345+I345+J345+K345+L345+M345+N345+O345+P345+Q345+R345+S345+T345+U345+V345</f>
        <v>34897.177500000005</v>
      </c>
    </row>
    <row r="346" spans="1:23" ht="23.25" customHeight="1">
      <c r="A346" s="228">
        <v>3</v>
      </c>
      <c r="B346" s="300" t="s">
        <v>316</v>
      </c>
      <c r="C346" s="301" t="s">
        <v>118</v>
      </c>
      <c r="D346" s="300"/>
      <c r="E346" s="369">
        <v>1</v>
      </c>
      <c r="F346" s="470">
        <f>F343*95%</f>
        <v>8245.05</v>
      </c>
      <c r="G346" s="471" t="s">
        <v>314</v>
      </c>
      <c r="H346" s="250">
        <f>F346*E346</f>
        <v>8245.05</v>
      </c>
      <c r="I346" s="250">
        <f t="shared" si="39"/>
        <v>824.505</v>
      </c>
      <c r="J346" s="504">
        <v>2720.87</v>
      </c>
      <c r="K346" s="489">
        <v>1360.43</v>
      </c>
      <c r="L346" s="489"/>
      <c r="M346" s="489"/>
      <c r="N346" s="489"/>
      <c r="O346" s="489"/>
      <c r="P346" s="489"/>
      <c r="Q346" s="489"/>
      <c r="R346" s="248"/>
      <c r="S346" s="248"/>
      <c r="T346" s="330"/>
      <c r="U346" s="248"/>
      <c r="V346" s="388"/>
      <c r="W346" s="248">
        <f aca="true" t="shared" si="40" ref="W346:W378">H346+I346+J346+K346+L346+M346+N346+O346+P346+Q346+R346+S346+T346+U346+V346</f>
        <v>13150.855</v>
      </c>
    </row>
    <row r="347" spans="1:23" ht="24.75" customHeight="1">
      <c r="A347" s="228">
        <v>4</v>
      </c>
      <c r="B347" s="300" t="s">
        <v>76</v>
      </c>
      <c r="C347" s="301">
        <v>2340</v>
      </c>
      <c r="D347" s="546"/>
      <c r="E347" s="248">
        <v>1.7</v>
      </c>
      <c r="F347" s="507">
        <v>7001</v>
      </c>
      <c r="G347" s="286">
        <v>14</v>
      </c>
      <c r="H347" s="250">
        <f>F347*E347</f>
        <v>11901.699999999999</v>
      </c>
      <c r="I347" s="250">
        <f>H347*10%</f>
        <v>1190.1699999999998</v>
      </c>
      <c r="J347" s="504">
        <v>4641.66</v>
      </c>
      <c r="K347" s="489">
        <v>2320.83</v>
      </c>
      <c r="L347" s="489">
        <v>2380.34</v>
      </c>
      <c r="M347" s="489"/>
      <c r="N347" s="489"/>
      <c r="O347" s="489"/>
      <c r="P347" s="489"/>
      <c r="Q347" s="489"/>
      <c r="R347" s="248"/>
      <c r="S347" s="248"/>
      <c r="T347" s="330"/>
      <c r="U347" s="248"/>
      <c r="V347" s="388"/>
      <c r="W347" s="248">
        <f>H347+I347+J347+K347+L347+M347+N347+O347+P347+Q347+R347+S347+T347+U347+V347</f>
        <v>22434.7</v>
      </c>
    </row>
    <row r="348" spans="1:23" ht="32.25" customHeight="1" hidden="1">
      <c r="A348" s="228"/>
      <c r="B348" s="547"/>
      <c r="C348" s="548"/>
      <c r="D348" s="549"/>
      <c r="E348" s="369"/>
      <c r="F348" s="550"/>
      <c r="G348" s="551"/>
      <c r="H348" s="552"/>
      <c r="I348" s="552"/>
      <c r="J348" s="553">
        <v>0</v>
      </c>
      <c r="K348" s="554">
        <f>(H348+I348+L348+N348)*20%</f>
        <v>0</v>
      </c>
      <c r="L348" s="555"/>
      <c r="M348" s="555"/>
      <c r="N348" s="555"/>
      <c r="O348" s="555"/>
      <c r="P348" s="555"/>
      <c r="Q348" s="555"/>
      <c r="R348" s="439"/>
      <c r="S348" s="439"/>
      <c r="T348" s="556"/>
      <c r="U348" s="439"/>
      <c r="V348" s="486"/>
      <c r="W348" s="316">
        <f>H348+I348+J348+K348+L348+M348+N348+O348+P348+Q348+R348+S348+T348+U348+V348</f>
        <v>0</v>
      </c>
    </row>
    <row r="349" spans="1:23" ht="28.5" customHeight="1">
      <c r="A349" s="240">
        <v>5</v>
      </c>
      <c r="B349" s="300" t="s">
        <v>76</v>
      </c>
      <c r="C349" s="301">
        <v>2340</v>
      </c>
      <c r="D349" s="546"/>
      <c r="E349" s="248">
        <v>0.3</v>
      </c>
      <c r="F349" s="507">
        <v>5699</v>
      </c>
      <c r="G349" s="286">
        <v>11</v>
      </c>
      <c r="H349" s="250">
        <f aca="true" t="shared" si="41" ref="H349:H360">F349*E349</f>
        <v>1709.7</v>
      </c>
      <c r="I349" s="360">
        <f t="shared" si="39"/>
        <v>170.97000000000003</v>
      </c>
      <c r="J349" s="504">
        <v>222.26</v>
      </c>
      <c r="K349" s="489">
        <v>333.39</v>
      </c>
      <c r="L349" s="489">
        <f>H349*20%</f>
        <v>341.94000000000005</v>
      </c>
      <c r="M349" s="489"/>
      <c r="N349" s="489"/>
      <c r="O349" s="489"/>
      <c r="P349" s="489"/>
      <c r="Q349" s="489"/>
      <c r="R349" s="248"/>
      <c r="S349" s="248"/>
      <c r="T349" s="330"/>
      <c r="U349" s="248"/>
      <c r="V349" s="361"/>
      <c r="W349" s="297">
        <f>H349+I349+J349+K349+L349+M349+N349+O349+P349+Q349+R349+S349+T349+U349+V349</f>
        <v>2778.26</v>
      </c>
    </row>
    <row r="350" spans="1:23" ht="18.75" customHeight="1">
      <c r="A350" s="240">
        <v>6</v>
      </c>
      <c r="B350" s="300" t="s">
        <v>202</v>
      </c>
      <c r="C350" s="301">
        <v>2340</v>
      </c>
      <c r="D350" s="300"/>
      <c r="E350" s="248">
        <v>0.75</v>
      </c>
      <c r="F350" s="304">
        <v>5699</v>
      </c>
      <c r="G350" s="329">
        <v>11</v>
      </c>
      <c r="H350" s="250">
        <f t="shared" si="41"/>
        <v>4274.25</v>
      </c>
      <c r="I350" s="360">
        <f t="shared" si="39"/>
        <v>427.425</v>
      </c>
      <c r="J350" s="504">
        <f>(H350+I350+L350)*10%</f>
        <v>470.1675</v>
      </c>
      <c r="K350" s="489">
        <f>(H350+I350+L350+N350)*15%</f>
        <v>705.25125</v>
      </c>
      <c r="L350" s="554"/>
      <c r="M350" s="554"/>
      <c r="N350" s="554"/>
      <c r="O350" s="554"/>
      <c r="P350" s="554"/>
      <c r="Q350" s="554"/>
      <c r="R350" s="316"/>
      <c r="S350" s="316"/>
      <c r="T350" s="395"/>
      <c r="U350" s="316"/>
      <c r="V350" s="377"/>
      <c r="W350" s="297">
        <f t="shared" si="40"/>
        <v>5877.093750000001</v>
      </c>
    </row>
    <row r="351" spans="1:23" ht="20.25" customHeight="1">
      <c r="A351" s="240">
        <v>7</v>
      </c>
      <c r="B351" s="300" t="s">
        <v>317</v>
      </c>
      <c r="C351" s="301">
        <v>2340</v>
      </c>
      <c r="D351" s="300"/>
      <c r="E351" s="248">
        <v>0.5</v>
      </c>
      <c r="F351" s="285">
        <v>5699</v>
      </c>
      <c r="G351" s="328">
        <v>11</v>
      </c>
      <c r="H351" s="250">
        <f>F351*E351</f>
        <v>2849.5</v>
      </c>
      <c r="I351" s="360">
        <f t="shared" si="39"/>
        <v>284.95</v>
      </c>
      <c r="J351" s="489">
        <v>370.44</v>
      </c>
      <c r="K351" s="489">
        <v>555.65</v>
      </c>
      <c r="L351" s="489">
        <f>H351*20%</f>
        <v>569.9</v>
      </c>
      <c r="M351" s="489"/>
      <c r="N351" s="489"/>
      <c r="O351" s="489"/>
      <c r="P351" s="489"/>
      <c r="Q351" s="489"/>
      <c r="R351" s="248"/>
      <c r="S351" s="248"/>
      <c r="T351" s="330"/>
      <c r="U351" s="248"/>
      <c r="V351" s="361"/>
      <c r="W351" s="297">
        <f>H351+I351+J351+K351+L351+M351+N351+O351+P351+Q351+R351+S351+T351+U351+V351</f>
        <v>4630.44</v>
      </c>
    </row>
    <row r="352" spans="1:23" ht="22.5" customHeight="1">
      <c r="A352" s="240">
        <v>8</v>
      </c>
      <c r="B352" s="300" t="s">
        <v>123</v>
      </c>
      <c r="C352" s="301">
        <v>2340</v>
      </c>
      <c r="D352" s="300"/>
      <c r="E352" s="248">
        <v>0.75</v>
      </c>
      <c r="F352" s="285">
        <v>5699</v>
      </c>
      <c r="G352" s="328">
        <v>11</v>
      </c>
      <c r="H352" s="250">
        <f>F352*E352</f>
        <v>4274.25</v>
      </c>
      <c r="I352" s="360">
        <f t="shared" si="39"/>
        <v>427.425</v>
      </c>
      <c r="J352" s="489">
        <v>555.65</v>
      </c>
      <c r="K352" s="489">
        <v>833.48</v>
      </c>
      <c r="L352" s="489">
        <v>854.85</v>
      </c>
      <c r="M352" s="489"/>
      <c r="N352" s="489"/>
      <c r="O352" s="489"/>
      <c r="P352" s="489"/>
      <c r="Q352" s="489"/>
      <c r="R352" s="248"/>
      <c r="S352" s="248"/>
      <c r="T352" s="330"/>
      <c r="U352" s="248"/>
      <c r="V352" s="361"/>
      <c r="W352" s="297">
        <f t="shared" si="40"/>
        <v>6945.655000000001</v>
      </c>
    </row>
    <row r="353" spans="1:23" ht="22.5" customHeight="1" hidden="1">
      <c r="A353" s="240"/>
      <c r="B353" s="309"/>
      <c r="C353" s="310"/>
      <c r="D353" s="309"/>
      <c r="E353" s="515"/>
      <c r="F353" s="557"/>
      <c r="G353" s="517"/>
      <c r="H353" s="314">
        <f t="shared" si="41"/>
        <v>0</v>
      </c>
      <c r="I353" s="376">
        <f t="shared" si="39"/>
        <v>0</v>
      </c>
      <c r="J353" s="554">
        <f>(H353+I353+M353+N353+L353)*10%</f>
        <v>0</v>
      </c>
      <c r="K353" s="554">
        <f>(H353+I353+L353+N353)*20%</f>
        <v>0</v>
      </c>
      <c r="L353" s="554">
        <f>F353*20%</f>
        <v>0</v>
      </c>
      <c r="M353" s="554"/>
      <c r="N353" s="554"/>
      <c r="O353" s="554"/>
      <c r="P353" s="554"/>
      <c r="Q353" s="554"/>
      <c r="R353" s="316"/>
      <c r="S353" s="316"/>
      <c r="T353" s="395"/>
      <c r="U353" s="316"/>
      <c r="V353" s="377"/>
      <c r="W353" s="380">
        <f t="shared" si="40"/>
        <v>0</v>
      </c>
    </row>
    <row r="354" spans="1:23" ht="18.75" customHeight="1" hidden="1">
      <c r="A354" s="240">
        <v>8</v>
      </c>
      <c r="B354" s="309"/>
      <c r="C354" s="310"/>
      <c r="D354" s="309"/>
      <c r="E354" s="515"/>
      <c r="F354" s="312"/>
      <c r="G354" s="517"/>
      <c r="H354" s="314"/>
      <c r="I354" s="376"/>
      <c r="J354" s="554">
        <f>(H354+I354+M354+N354+L354)*10%</f>
        <v>0</v>
      </c>
      <c r="K354" s="554">
        <f>(H354+I354+L354+N354)*20%</f>
        <v>0</v>
      </c>
      <c r="L354" s="554">
        <f>F354*20%</f>
        <v>0</v>
      </c>
      <c r="M354" s="554"/>
      <c r="N354" s="554"/>
      <c r="O354" s="554"/>
      <c r="P354" s="554"/>
      <c r="Q354" s="554"/>
      <c r="R354" s="316"/>
      <c r="S354" s="316"/>
      <c r="T354" s="395"/>
      <c r="U354" s="316"/>
      <c r="V354" s="377"/>
      <c r="W354" s="380">
        <f t="shared" si="40"/>
        <v>0</v>
      </c>
    </row>
    <row r="355" spans="1:23" ht="22.5" customHeight="1">
      <c r="A355" s="240">
        <v>9</v>
      </c>
      <c r="B355" s="300" t="s">
        <v>201</v>
      </c>
      <c r="C355" s="301" t="s">
        <v>121</v>
      </c>
      <c r="D355" s="300"/>
      <c r="E355" s="248">
        <v>0.75</v>
      </c>
      <c r="F355" s="285">
        <v>5699</v>
      </c>
      <c r="G355" s="286">
        <v>11</v>
      </c>
      <c r="H355" s="250">
        <f t="shared" si="41"/>
        <v>4274.25</v>
      </c>
      <c r="I355" s="360">
        <f t="shared" si="39"/>
        <v>427.425</v>
      </c>
      <c r="J355" s="489">
        <v>470.17</v>
      </c>
      <c r="K355" s="489">
        <f>(H355+I355+L355+N355)*15%</f>
        <v>705.25125</v>
      </c>
      <c r="L355" s="489"/>
      <c r="M355" s="489"/>
      <c r="N355" s="489"/>
      <c r="O355" s="489"/>
      <c r="P355" s="489"/>
      <c r="Q355" s="489"/>
      <c r="R355" s="248"/>
      <c r="S355" s="248"/>
      <c r="T355" s="330"/>
      <c r="U355" s="248"/>
      <c r="V355" s="361"/>
      <c r="W355" s="297">
        <f t="shared" si="40"/>
        <v>5877.0962500000005</v>
      </c>
    </row>
    <row r="356" spans="1:23" ht="18" customHeight="1">
      <c r="A356" s="240">
        <v>10</v>
      </c>
      <c r="B356" s="300" t="s">
        <v>204</v>
      </c>
      <c r="C356" s="301" t="s">
        <v>205</v>
      </c>
      <c r="D356" s="300"/>
      <c r="E356" s="369">
        <v>1</v>
      </c>
      <c r="F356" s="285">
        <v>6567</v>
      </c>
      <c r="G356" s="286">
        <v>13</v>
      </c>
      <c r="H356" s="250">
        <f t="shared" si="41"/>
        <v>6567</v>
      </c>
      <c r="I356" s="360">
        <f t="shared" si="39"/>
        <v>656.7</v>
      </c>
      <c r="J356" s="489">
        <f>(H356+I356+M356+N356+L356)*10%</f>
        <v>722.37</v>
      </c>
      <c r="K356" s="489">
        <f>(H356+I356+L356+N356)*15%</f>
        <v>1083.5549999999998</v>
      </c>
      <c r="L356" s="554"/>
      <c r="M356" s="554"/>
      <c r="N356" s="554"/>
      <c r="O356" s="554"/>
      <c r="P356" s="554"/>
      <c r="Q356" s="554"/>
      <c r="R356" s="316"/>
      <c r="S356" s="316"/>
      <c r="T356" s="395"/>
      <c r="U356" s="316"/>
      <c r="V356" s="377"/>
      <c r="W356" s="297">
        <f>H356+I356+J356+K356+L356+M356+N356+O356+P356+Q356+R356+S356+T356+U356+V356</f>
        <v>9029.625</v>
      </c>
    </row>
    <row r="357" spans="1:23" ht="16.5" customHeight="1" hidden="1">
      <c r="A357" s="240"/>
      <c r="B357" s="309"/>
      <c r="C357" s="310"/>
      <c r="D357" s="309"/>
      <c r="E357" s="369"/>
      <c r="F357" s="312"/>
      <c r="G357" s="517"/>
      <c r="H357" s="314"/>
      <c r="I357" s="376"/>
      <c r="J357" s="554"/>
      <c r="K357" s="554"/>
      <c r="L357" s="554"/>
      <c r="M357" s="554"/>
      <c r="N357" s="554"/>
      <c r="O357" s="554"/>
      <c r="P357" s="554"/>
      <c r="Q357" s="554"/>
      <c r="R357" s="316"/>
      <c r="S357" s="316"/>
      <c r="T357" s="395"/>
      <c r="U357" s="316"/>
      <c r="V357" s="377"/>
      <c r="W357" s="380">
        <f t="shared" si="40"/>
        <v>0</v>
      </c>
    </row>
    <row r="358" spans="1:23" ht="16.5" customHeight="1">
      <c r="A358" s="240">
        <v>11</v>
      </c>
      <c r="B358" s="300" t="s">
        <v>206</v>
      </c>
      <c r="C358" s="301">
        <v>3340</v>
      </c>
      <c r="D358" s="300"/>
      <c r="E358" s="369">
        <v>2</v>
      </c>
      <c r="F358" s="285">
        <v>5699</v>
      </c>
      <c r="G358" s="286">
        <v>11</v>
      </c>
      <c r="H358" s="250">
        <f t="shared" si="41"/>
        <v>11398</v>
      </c>
      <c r="I358" s="360">
        <f t="shared" si="39"/>
        <v>1139.8</v>
      </c>
      <c r="J358" s="489">
        <f>(H358+I358+M358+N358+L358)*10%</f>
        <v>1253.78</v>
      </c>
      <c r="K358" s="489">
        <f>(H358+I358+L358+N358)*15%</f>
        <v>1880.6699999999998</v>
      </c>
      <c r="L358" s="489"/>
      <c r="M358" s="489"/>
      <c r="N358" s="489"/>
      <c r="O358" s="489"/>
      <c r="P358" s="489"/>
      <c r="Q358" s="489"/>
      <c r="R358" s="248"/>
      <c r="S358" s="248"/>
      <c r="T358" s="330"/>
      <c r="U358" s="248"/>
      <c r="V358" s="361"/>
      <c r="W358" s="297">
        <f t="shared" si="40"/>
        <v>15672.25</v>
      </c>
    </row>
    <row r="359" spans="1:23" ht="16.5" customHeight="1" hidden="1">
      <c r="A359" s="240">
        <v>13</v>
      </c>
      <c r="B359" s="309" t="s">
        <v>247</v>
      </c>
      <c r="C359" s="310"/>
      <c r="D359" s="309"/>
      <c r="E359" s="558"/>
      <c r="F359" s="312">
        <v>5260</v>
      </c>
      <c r="G359" s="517">
        <v>11</v>
      </c>
      <c r="H359" s="314">
        <f t="shared" si="41"/>
        <v>0</v>
      </c>
      <c r="I359" s="376">
        <f t="shared" si="39"/>
        <v>0</v>
      </c>
      <c r="J359" s="554">
        <v>0</v>
      </c>
      <c r="K359" s="554">
        <f>(H359+I359+L359+N359)*20%</f>
        <v>0</v>
      </c>
      <c r="L359" s="554"/>
      <c r="M359" s="554"/>
      <c r="N359" s="554"/>
      <c r="O359" s="554"/>
      <c r="P359" s="554"/>
      <c r="Q359" s="554"/>
      <c r="R359" s="316"/>
      <c r="S359" s="316"/>
      <c r="T359" s="395"/>
      <c r="U359" s="316"/>
      <c r="V359" s="377"/>
      <c r="W359" s="380">
        <f t="shared" si="40"/>
        <v>0</v>
      </c>
    </row>
    <row r="360" spans="1:23" ht="18" customHeight="1">
      <c r="A360" s="240">
        <v>12</v>
      </c>
      <c r="B360" s="267" t="s">
        <v>207</v>
      </c>
      <c r="C360" s="221">
        <v>3340</v>
      </c>
      <c r="D360" s="267"/>
      <c r="E360" s="369">
        <v>0.5</v>
      </c>
      <c r="F360" s="285">
        <v>5699</v>
      </c>
      <c r="G360" s="286">
        <v>11</v>
      </c>
      <c r="H360" s="250">
        <f t="shared" si="41"/>
        <v>2849.5</v>
      </c>
      <c r="I360" s="360">
        <f t="shared" si="39"/>
        <v>284.95</v>
      </c>
      <c r="J360" s="489">
        <v>313.45</v>
      </c>
      <c r="K360" s="489">
        <f>(H360+I360+L360+N360)*15%</f>
        <v>470.16749999999996</v>
      </c>
      <c r="L360" s="489"/>
      <c r="M360" s="489"/>
      <c r="N360" s="489"/>
      <c r="O360" s="489"/>
      <c r="P360" s="489"/>
      <c r="Q360" s="489"/>
      <c r="R360" s="248"/>
      <c r="S360" s="248"/>
      <c r="T360" s="330"/>
      <c r="U360" s="248"/>
      <c r="V360" s="361"/>
      <c r="W360" s="297">
        <f t="shared" si="40"/>
        <v>3918.0674999999997</v>
      </c>
    </row>
    <row r="361" spans="1:23" ht="55.5" customHeight="1">
      <c r="A361" s="268">
        <v>13</v>
      </c>
      <c r="B361" s="267" t="s">
        <v>203</v>
      </c>
      <c r="C361" s="221">
        <v>3330</v>
      </c>
      <c r="D361" s="267"/>
      <c r="E361" s="481">
        <f>6.5+2.5+3</f>
        <v>12</v>
      </c>
      <c r="F361" s="559" t="s">
        <v>318</v>
      </c>
      <c r="G361" s="286" t="s">
        <v>319</v>
      </c>
      <c r="H361" s="250">
        <v>63895.89</v>
      </c>
      <c r="I361" s="360">
        <v>6389.59</v>
      </c>
      <c r="J361" s="489">
        <v>11420.46</v>
      </c>
      <c r="K361" s="489">
        <v>14969.58</v>
      </c>
      <c r="L361" s="560">
        <v>13241.12</v>
      </c>
      <c r="M361" s="489"/>
      <c r="N361" s="489"/>
      <c r="O361" s="489"/>
      <c r="P361" s="489"/>
      <c r="Q361" s="489"/>
      <c r="R361" s="248"/>
      <c r="S361" s="248"/>
      <c r="T361" s="330"/>
      <c r="U361" s="290"/>
      <c r="V361" s="361"/>
      <c r="W361" s="297">
        <f t="shared" si="40"/>
        <v>109916.64</v>
      </c>
    </row>
    <row r="362" spans="1:23" ht="21" customHeight="1" thickBot="1">
      <c r="A362" s="268">
        <v>14</v>
      </c>
      <c r="B362" s="493" t="s">
        <v>208</v>
      </c>
      <c r="C362" s="362">
        <v>2320</v>
      </c>
      <c r="D362" s="493"/>
      <c r="E362" s="297">
        <v>40.38</v>
      </c>
      <c r="F362" s="443"/>
      <c r="G362" s="561"/>
      <c r="H362" s="296">
        <v>292375.44</v>
      </c>
      <c r="I362" s="296">
        <v>29237.54</v>
      </c>
      <c r="J362" s="499">
        <v>69852.09</v>
      </c>
      <c r="K362" s="499">
        <v>52710.54</v>
      </c>
      <c r="L362" s="502"/>
      <c r="M362" s="502"/>
      <c r="N362" s="502"/>
      <c r="O362" s="499">
        <v>27964.66</v>
      </c>
      <c r="P362" s="499">
        <v>35718.52</v>
      </c>
      <c r="Q362" s="502">
        <v>722.37</v>
      </c>
      <c r="R362" s="297"/>
      <c r="S362" s="297"/>
      <c r="T362" s="494"/>
      <c r="U362" s="297"/>
      <c r="V362" s="361"/>
      <c r="W362" s="297">
        <f>H362+I362+J362+K362+L362+M362+N362+O362+P362+Q362+R362+S362+T362+U362+V362</f>
        <v>508581.1599999999</v>
      </c>
    </row>
    <row r="363" spans="1:23" ht="21" customHeight="1" thickBot="1">
      <c r="A363" s="562">
        <v>15</v>
      </c>
      <c r="B363" s="563" t="s">
        <v>265</v>
      </c>
      <c r="C363" s="564"/>
      <c r="D363" s="563"/>
      <c r="E363" s="385">
        <f>E343+E345+E346+E347+E349+E350+E351+E352+E355+E356+E357+E358+E359+E360+E361+E362</f>
        <v>65.13</v>
      </c>
      <c r="F363" s="385"/>
      <c r="G363" s="385"/>
      <c r="H363" s="385">
        <f>H343+H345+H346+H347+H349+H350+H351+H352+H355+H356+H357+H358+H359+H360+H361+H362</f>
        <v>443906.155</v>
      </c>
      <c r="I363" s="385">
        <f aca="true" t="shared" si="42" ref="I363:V363">I343+I345+I346+I347+I349+I350+I351+I352+I355+I356+I357+I358+I359+I360+I361+I362</f>
        <v>44390.6125</v>
      </c>
      <c r="J363" s="385">
        <f>J343+J345+J346+J347+J349+J350+J351+J352+J355+J356+J357+J358+J359+J360+J361+J362</f>
        <v>102788.09749999999</v>
      </c>
      <c r="K363" s="385">
        <f t="shared" si="42"/>
        <v>84369.695</v>
      </c>
      <c r="L363" s="385">
        <f t="shared" si="42"/>
        <v>20772.96</v>
      </c>
      <c r="M363" s="385">
        <f t="shared" si="42"/>
        <v>0</v>
      </c>
      <c r="N363" s="385">
        <f t="shared" si="42"/>
        <v>0</v>
      </c>
      <c r="O363" s="385">
        <f t="shared" si="42"/>
        <v>27964.66</v>
      </c>
      <c r="P363" s="385">
        <f t="shared" si="42"/>
        <v>35718.52</v>
      </c>
      <c r="Q363" s="385">
        <f t="shared" si="42"/>
        <v>722.37</v>
      </c>
      <c r="R363" s="385">
        <f t="shared" si="42"/>
        <v>0</v>
      </c>
      <c r="S363" s="385">
        <f t="shared" si="42"/>
        <v>0</v>
      </c>
      <c r="T363" s="385">
        <f t="shared" si="42"/>
        <v>0</v>
      </c>
      <c r="U363" s="385">
        <f t="shared" si="42"/>
        <v>0</v>
      </c>
      <c r="V363" s="385">
        <f t="shared" si="42"/>
        <v>0</v>
      </c>
      <c r="W363" s="385">
        <f>W343+W345+W346+W347+W349+W350+W351+W352+W355+W356+W357+W358+W359+W360+W361+W362</f>
        <v>760633.07</v>
      </c>
    </row>
    <row r="364" spans="1:23" ht="22.5" customHeight="1">
      <c r="A364" s="228">
        <v>16</v>
      </c>
      <c r="B364" s="506" t="s">
        <v>210</v>
      </c>
      <c r="C364" s="365" t="s">
        <v>211</v>
      </c>
      <c r="D364" s="506"/>
      <c r="E364" s="358">
        <v>1</v>
      </c>
      <c r="F364" s="285">
        <v>5265</v>
      </c>
      <c r="G364" s="286">
        <v>10</v>
      </c>
      <c r="H364" s="250">
        <f>F364*E364</f>
        <v>5265</v>
      </c>
      <c r="I364" s="250"/>
      <c r="J364" s="237">
        <v>1053</v>
      </c>
      <c r="K364" s="237"/>
      <c r="L364" s="237"/>
      <c r="M364" s="237">
        <f>F364*15%</f>
        <v>789.75</v>
      </c>
      <c r="N364" s="237"/>
      <c r="O364" s="237"/>
      <c r="P364" s="237"/>
      <c r="Q364" s="237"/>
      <c r="R364" s="237"/>
      <c r="S364" s="237"/>
      <c r="T364" s="472"/>
      <c r="U364" s="237"/>
      <c r="V364" s="361"/>
      <c r="W364" s="297">
        <f t="shared" si="40"/>
        <v>7107.75</v>
      </c>
    </row>
    <row r="365" spans="1:23" ht="18" customHeight="1">
      <c r="A365" s="240">
        <v>17</v>
      </c>
      <c r="B365" s="300" t="s">
        <v>212</v>
      </c>
      <c r="C365" s="301">
        <v>3231</v>
      </c>
      <c r="D365" s="300"/>
      <c r="E365" s="369">
        <v>1</v>
      </c>
      <c r="F365" s="285">
        <v>4195</v>
      </c>
      <c r="G365" s="286">
        <v>6</v>
      </c>
      <c r="H365" s="250">
        <f aca="true" t="shared" si="43" ref="H365:H378">F365*E365</f>
        <v>4195</v>
      </c>
      <c r="I365" s="250"/>
      <c r="J365" s="237">
        <f>H365*30%</f>
        <v>1258.5</v>
      </c>
      <c r="K365" s="237"/>
      <c r="L365" s="248"/>
      <c r="M365" s="248"/>
      <c r="N365" s="248"/>
      <c r="O365" s="248"/>
      <c r="P365" s="248"/>
      <c r="Q365" s="248"/>
      <c r="R365" s="248"/>
      <c r="S365" s="248"/>
      <c r="T365" s="330"/>
      <c r="U365" s="248"/>
      <c r="V365" s="361">
        <f>6700*E365-H365-I365-J365-K365-L365-M365-N365-O365-P365-Q365-U365</f>
        <v>1246.5</v>
      </c>
      <c r="W365" s="297">
        <f>H365+I365+J365+K365+L365+M365+N365+O365+P365+Q365+R365+S365+T365+U365+V365</f>
        <v>6700</v>
      </c>
    </row>
    <row r="366" spans="1:23" ht="21" customHeight="1">
      <c r="A366" s="240">
        <v>18</v>
      </c>
      <c r="B366" s="267" t="s">
        <v>122</v>
      </c>
      <c r="C366" s="221">
        <v>1239</v>
      </c>
      <c r="D366" s="267"/>
      <c r="E366" s="369">
        <v>1</v>
      </c>
      <c r="F366" s="285">
        <v>4745</v>
      </c>
      <c r="G366" s="328">
        <v>8</v>
      </c>
      <c r="H366" s="250">
        <f t="shared" si="43"/>
        <v>4745</v>
      </c>
      <c r="I366" s="250"/>
      <c r="J366" s="248"/>
      <c r="K366" s="248"/>
      <c r="L366" s="248"/>
      <c r="M366" s="248"/>
      <c r="N366" s="248"/>
      <c r="O366" s="248"/>
      <c r="P366" s="248"/>
      <c r="Q366" s="248"/>
      <c r="R366" s="248"/>
      <c r="S366" s="248"/>
      <c r="T366" s="330"/>
      <c r="U366" s="248">
        <f>H366*15%</f>
        <v>711.75</v>
      </c>
      <c r="V366" s="361">
        <f>6700*E366-H366-I366-J366-K366-L366-M366-N366-O366-P366-Q366-U366</f>
        <v>1243.25</v>
      </c>
      <c r="W366" s="297">
        <f t="shared" si="40"/>
        <v>6700</v>
      </c>
    </row>
    <row r="367" spans="1:23" ht="35.25" customHeight="1" hidden="1">
      <c r="A367" s="240">
        <v>15</v>
      </c>
      <c r="B367" s="267"/>
      <c r="C367" s="221"/>
      <c r="D367" s="267"/>
      <c r="E367" s="369"/>
      <c r="F367" s="432"/>
      <c r="G367" s="286"/>
      <c r="H367" s="250">
        <f t="shared" si="43"/>
        <v>0</v>
      </c>
      <c r="I367" s="250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330"/>
      <c r="U367" s="248"/>
      <c r="V367" s="361">
        <f>6700*E367-H367-I367-J367-K367-L367-M367-N367-O367-P367-Q367-U367</f>
        <v>0</v>
      </c>
      <c r="W367" s="297">
        <f t="shared" si="40"/>
        <v>0</v>
      </c>
    </row>
    <row r="368" spans="1:23" ht="18.75" customHeight="1">
      <c r="A368" s="240">
        <v>19</v>
      </c>
      <c r="B368" s="300" t="s">
        <v>216</v>
      </c>
      <c r="C368" s="301">
        <v>4115</v>
      </c>
      <c r="D368" s="300"/>
      <c r="E368" s="369">
        <v>1</v>
      </c>
      <c r="F368" s="285">
        <v>3934</v>
      </c>
      <c r="G368" s="286">
        <v>5</v>
      </c>
      <c r="H368" s="250">
        <f t="shared" si="43"/>
        <v>3934</v>
      </c>
      <c r="I368" s="250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330"/>
      <c r="U368" s="248"/>
      <c r="V368" s="361">
        <f>6700*E368-H368-I368-J368-K368-L368-M368-N368-O368-P368-Q368-U368</f>
        <v>2766</v>
      </c>
      <c r="W368" s="297">
        <f t="shared" si="40"/>
        <v>6700</v>
      </c>
    </row>
    <row r="369" spans="1:23" ht="18.75" customHeight="1">
      <c r="A369" s="240">
        <v>20</v>
      </c>
      <c r="B369" s="300" t="s">
        <v>56</v>
      </c>
      <c r="C369" s="301">
        <v>9162</v>
      </c>
      <c r="D369" s="300"/>
      <c r="E369" s="369">
        <v>1</v>
      </c>
      <c r="F369" s="285">
        <v>2893</v>
      </c>
      <c r="G369" s="286">
        <v>1</v>
      </c>
      <c r="H369" s="250">
        <f t="shared" si="43"/>
        <v>2893</v>
      </c>
      <c r="I369" s="250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330"/>
      <c r="U369" s="248"/>
      <c r="V369" s="361">
        <f aca="true" t="shared" si="44" ref="V369:V378">6700*E369-H369-I369-J369-K369-L369-M369-N369-O369-P369-Q369-U369</f>
        <v>3807</v>
      </c>
      <c r="W369" s="297">
        <f t="shared" si="40"/>
        <v>6700</v>
      </c>
    </row>
    <row r="370" spans="1:23" ht="45" customHeight="1">
      <c r="A370" s="240">
        <v>21</v>
      </c>
      <c r="B370" s="300" t="s">
        <v>218</v>
      </c>
      <c r="C370" s="301">
        <v>7129</v>
      </c>
      <c r="D370" s="300"/>
      <c r="E370" s="369">
        <v>1</v>
      </c>
      <c r="F370" s="285">
        <v>3674</v>
      </c>
      <c r="G370" s="286">
        <v>4</v>
      </c>
      <c r="H370" s="250">
        <f t="shared" si="43"/>
        <v>3674</v>
      </c>
      <c r="I370" s="250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330"/>
      <c r="U370" s="248"/>
      <c r="V370" s="361">
        <f t="shared" si="44"/>
        <v>3026</v>
      </c>
      <c r="W370" s="297">
        <f t="shared" si="40"/>
        <v>6700</v>
      </c>
    </row>
    <row r="371" spans="1:23" ht="18" customHeight="1">
      <c r="A371" s="240">
        <v>22</v>
      </c>
      <c r="B371" s="300" t="s">
        <v>10</v>
      </c>
      <c r="C371" s="301">
        <v>9152</v>
      </c>
      <c r="D371" s="300"/>
      <c r="E371" s="248">
        <v>2.75</v>
      </c>
      <c r="F371" s="285">
        <v>3153</v>
      </c>
      <c r="G371" s="286">
        <v>2</v>
      </c>
      <c r="H371" s="250">
        <f t="shared" si="43"/>
        <v>8670.75</v>
      </c>
      <c r="I371" s="250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90">
        <f>F371*40%*2.75</f>
        <v>3468.3</v>
      </c>
      <c r="U371" s="248"/>
      <c r="V371" s="361">
        <f t="shared" si="44"/>
        <v>9754.25</v>
      </c>
      <c r="W371" s="297">
        <f>H371+I371+J371+K371+L371+M371+N371+O371+P371+Q371+R371+S371+T371+U371+V371</f>
        <v>21893.3</v>
      </c>
    </row>
    <row r="372" spans="1:23" ht="22.5" customHeight="1">
      <c r="A372" s="240">
        <v>23</v>
      </c>
      <c r="B372" s="267" t="s">
        <v>87</v>
      </c>
      <c r="C372" s="221">
        <v>9132</v>
      </c>
      <c r="D372" s="267"/>
      <c r="E372" s="369">
        <v>9</v>
      </c>
      <c r="F372" s="285">
        <v>3153</v>
      </c>
      <c r="G372" s="286">
        <v>2</v>
      </c>
      <c r="H372" s="250">
        <f t="shared" si="43"/>
        <v>28377</v>
      </c>
      <c r="I372" s="250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>
        <f>F372*E372*10%</f>
        <v>2837.7000000000003</v>
      </c>
      <c r="T372" s="330"/>
      <c r="U372" s="248"/>
      <c r="V372" s="361">
        <f t="shared" si="44"/>
        <v>31923</v>
      </c>
      <c r="W372" s="297">
        <f t="shared" si="40"/>
        <v>63137.7</v>
      </c>
    </row>
    <row r="373" spans="1:23" ht="17.25" customHeight="1">
      <c r="A373" s="240">
        <v>24</v>
      </c>
      <c r="B373" s="300" t="s">
        <v>68</v>
      </c>
      <c r="C373" s="301">
        <v>3570</v>
      </c>
      <c r="D373" s="300"/>
      <c r="E373" s="369">
        <v>1</v>
      </c>
      <c r="F373" s="285">
        <v>4195</v>
      </c>
      <c r="G373" s="286">
        <v>6</v>
      </c>
      <c r="H373" s="250">
        <f t="shared" si="43"/>
        <v>4195</v>
      </c>
      <c r="I373" s="250"/>
      <c r="J373" s="248"/>
      <c r="K373" s="248"/>
      <c r="L373" s="248"/>
      <c r="M373" s="248"/>
      <c r="N373" s="248"/>
      <c r="O373" s="248"/>
      <c r="P373" s="248"/>
      <c r="Q373" s="248"/>
      <c r="R373" s="248">
        <f>F373*E373*12%</f>
        <v>503.4</v>
      </c>
      <c r="S373" s="248"/>
      <c r="T373" s="330"/>
      <c r="U373" s="290">
        <f>F373*20%+F373*E373*15%</f>
        <v>1468.25</v>
      </c>
      <c r="V373" s="361">
        <f t="shared" si="44"/>
        <v>1036.75</v>
      </c>
      <c r="W373" s="297">
        <f t="shared" si="40"/>
        <v>7203.4</v>
      </c>
    </row>
    <row r="374" spans="1:23" ht="18" customHeight="1">
      <c r="A374" s="240">
        <v>25</v>
      </c>
      <c r="B374" s="300" t="s">
        <v>8</v>
      </c>
      <c r="C374" s="301">
        <v>5122</v>
      </c>
      <c r="D374" s="300"/>
      <c r="E374" s="369">
        <v>2</v>
      </c>
      <c r="F374" s="285">
        <v>3934</v>
      </c>
      <c r="G374" s="286">
        <v>5</v>
      </c>
      <c r="H374" s="250">
        <f t="shared" si="43"/>
        <v>7868</v>
      </c>
      <c r="I374" s="250"/>
      <c r="J374" s="248"/>
      <c r="K374" s="248"/>
      <c r="L374" s="248"/>
      <c r="M374" s="248"/>
      <c r="N374" s="248"/>
      <c r="O374" s="248"/>
      <c r="P374" s="248"/>
      <c r="Q374" s="248"/>
      <c r="R374" s="248">
        <f>F374*E374*12%</f>
        <v>944.16</v>
      </c>
      <c r="S374" s="248"/>
      <c r="T374" s="330"/>
      <c r="U374" s="290">
        <f>F374*E374*15%</f>
        <v>1180.2</v>
      </c>
      <c r="V374" s="361">
        <f t="shared" si="44"/>
        <v>4351.8</v>
      </c>
      <c r="W374" s="297">
        <f t="shared" si="40"/>
        <v>14344.16</v>
      </c>
    </row>
    <row r="375" spans="1:23" ht="18.75" customHeight="1">
      <c r="A375" s="240">
        <v>26</v>
      </c>
      <c r="B375" s="267" t="s">
        <v>128</v>
      </c>
      <c r="C375" s="221">
        <v>9132</v>
      </c>
      <c r="D375" s="300"/>
      <c r="E375" s="369">
        <v>1</v>
      </c>
      <c r="F375" s="285">
        <v>2893</v>
      </c>
      <c r="G375" s="286">
        <v>1</v>
      </c>
      <c r="H375" s="250">
        <f t="shared" si="43"/>
        <v>2893</v>
      </c>
      <c r="I375" s="250"/>
      <c r="J375" s="248"/>
      <c r="K375" s="248"/>
      <c r="L375" s="248"/>
      <c r="M375" s="248"/>
      <c r="N375" s="248"/>
      <c r="O375" s="248"/>
      <c r="P375" s="248"/>
      <c r="Q375" s="248"/>
      <c r="R375" s="248">
        <f>F375*E375*12%</f>
        <v>347.15999999999997</v>
      </c>
      <c r="S375" s="248"/>
      <c r="T375" s="330"/>
      <c r="U375" s="290">
        <f>F375*E375*15%</f>
        <v>433.95</v>
      </c>
      <c r="V375" s="361">
        <f t="shared" si="44"/>
        <v>3373.05</v>
      </c>
      <c r="W375" s="297">
        <f t="shared" si="40"/>
        <v>7047.16</v>
      </c>
    </row>
    <row r="376" spans="1:23" ht="48.75" customHeight="1" hidden="1">
      <c r="A376" s="240">
        <v>23</v>
      </c>
      <c r="B376" s="267"/>
      <c r="C376" s="221"/>
      <c r="D376" s="267"/>
      <c r="E376" s="248"/>
      <c r="F376" s="319"/>
      <c r="G376" s="286"/>
      <c r="H376" s="250">
        <f t="shared" si="43"/>
        <v>0</v>
      </c>
      <c r="I376" s="250"/>
      <c r="J376" s="248"/>
      <c r="K376" s="248"/>
      <c r="L376" s="330"/>
      <c r="M376" s="248"/>
      <c r="N376" s="248"/>
      <c r="O376" s="248"/>
      <c r="P376" s="248"/>
      <c r="Q376" s="248"/>
      <c r="R376" s="248"/>
      <c r="S376" s="248"/>
      <c r="T376" s="330"/>
      <c r="U376" s="290"/>
      <c r="V376" s="361">
        <f t="shared" si="44"/>
        <v>0</v>
      </c>
      <c r="W376" s="297">
        <f t="shared" si="40"/>
        <v>0</v>
      </c>
    </row>
    <row r="377" spans="1:23" ht="18" customHeight="1" hidden="1">
      <c r="A377" s="240">
        <v>24</v>
      </c>
      <c r="B377" s="300" t="s">
        <v>217</v>
      </c>
      <c r="C377" s="301"/>
      <c r="D377" s="300"/>
      <c r="E377" s="248"/>
      <c r="F377" s="285"/>
      <c r="G377" s="286">
        <v>4</v>
      </c>
      <c r="H377" s="250">
        <f t="shared" si="43"/>
        <v>0</v>
      </c>
      <c r="I377" s="250"/>
      <c r="J377" s="248"/>
      <c r="K377" s="248"/>
      <c r="L377" s="330"/>
      <c r="M377" s="248"/>
      <c r="N377" s="248"/>
      <c r="O377" s="248"/>
      <c r="P377" s="248"/>
      <c r="Q377" s="248"/>
      <c r="R377" s="248"/>
      <c r="S377" s="248"/>
      <c r="T377" s="330"/>
      <c r="U377" s="290"/>
      <c r="V377" s="361">
        <f t="shared" si="44"/>
        <v>0</v>
      </c>
      <c r="W377" s="297">
        <f t="shared" si="40"/>
        <v>0</v>
      </c>
    </row>
    <row r="378" spans="1:23" ht="18" customHeight="1">
      <c r="A378" s="240">
        <v>27</v>
      </c>
      <c r="B378" s="300" t="s">
        <v>12</v>
      </c>
      <c r="C378" s="301">
        <v>4131</v>
      </c>
      <c r="D378" s="300"/>
      <c r="E378" s="248">
        <v>1</v>
      </c>
      <c r="F378" s="285">
        <v>3153</v>
      </c>
      <c r="G378" s="286">
        <v>2</v>
      </c>
      <c r="H378" s="250">
        <f t="shared" si="43"/>
        <v>3153</v>
      </c>
      <c r="I378" s="250"/>
      <c r="J378" s="248"/>
      <c r="K378" s="248"/>
      <c r="L378" s="330"/>
      <c r="M378" s="248"/>
      <c r="N378" s="248"/>
      <c r="O378" s="248"/>
      <c r="P378" s="248"/>
      <c r="Q378" s="248"/>
      <c r="R378" s="248"/>
      <c r="S378" s="248"/>
      <c r="T378" s="330"/>
      <c r="U378" s="290"/>
      <c r="V378" s="361">
        <f t="shared" si="44"/>
        <v>3547</v>
      </c>
      <c r="W378" s="297">
        <f t="shared" si="40"/>
        <v>6700</v>
      </c>
    </row>
    <row r="379" spans="1:23" ht="0.75" customHeight="1">
      <c r="A379" s="254"/>
      <c r="B379" s="266"/>
      <c r="C379" s="394"/>
      <c r="D379" s="266"/>
      <c r="E379" s="316"/>
      <c r="F379" s="516"/>
      <c r="G379" s="474"/>
      <c r="H379" s="474"/>
      <c r="I379" s="474"/>
      <c r="J379" s="316"/>
      <c r="K379" s="316"/>
      <c r="L379" s="395"/>
      <c r="M379" s="316"/>
      <c r="N379" s="316"/>
      <c r="O379" s="316"/>
      <c r="P379" s="316"/>
      <c r="Q379" s="316"/>
      <c r="R379" s="316"/>
      <c r="S379" s="316"/>
      <c r="T379" s="395"/>
      <c r="U379" s="518"/>
      <c r="V379" s="315"/>
      <c r="W379" s="316"/>
    </row>
    <row r="380" spans="1:23" ht="18.75" customHeight="1">
      <c r="A380" s="254"/>
      <c r="B380" s="303" t="s">
        <v>6</v>
      </c>
      <c r="C380" s="302"/>
      <c r="D380" s="303"/>
      <c r="E380" s="248">
        <f>E364+E365+E366+E368+E369+E370+E371+E372+E374+E375+E378+E363+E373</f>
        <v>87.88</v>
      </c>
      <c r="F380" s="248"/>
      <c r="G380" s="248"/>
      <c r="H380" s="248">
        <f aca="true" t="shared" si="45" ref="H380:W380">H364+H365+H366+H368+H369+H370+H371+H372+H374+H375+H378+H363+H373</f>
        <v>523768.905</v>
      </c>
      <c r="I380" s="248">
        <f t="shared" si="45"/>
        <v>44390.6125</v>
      </c>
      <c r="J380" s="248">
        <f t="shared" si="45"/>
        <v>105099.59749999999</v>
      </c>
      <c r="K380" s="248">
        <f t="shared" si="45"/>
        <v>84369.695</v>
      </c>
      <c r="L380" s="248">
        <f t="shared" si="45"/>
        <v>20772.96</v>
      </c>
      <c r="M380" s="248">
        <f t="shared" si="45"/>
        <v>789.75</v>
      </c>
      <c r="N380" s="248">
        <f t="shared" si="45"/>
        <v>0</v>
      </c>
      <c r="O380" s="248">
        <f t="shared" si="45"/>
        <v>27964.66</v>
      </c>
      <c r="P380" s="248">
        <f t="shared" si="45"/>
        <v>35718.52</v>
      </c>
      <c r="Q380" s="248">
        <f t="shared" si="45"/>
        <v>722.37</v>
      </c>
      <c r="R380" s="248">
        <f t="shared" si="45"/>
        <v>1794.7199999999998</v>
      </c>
      <c r="S380" s="248">
        <f t="shared" si="45"/>
        <v>2837.7000000000003</v>
      </c>
      <c r="T380" s="248">
        <f t="shared" si="45"/>
        <v>3468.3</v>
      </c>
      <c r="U380" s="248">
        <f t="shared" si="45"/>
        <v>3794.15</v>
      </c>
      <c r="V380" s="248">
        <f t="shared" si="45"/>
        <v>66074.6</v>
      </c>
      <c r="W380" s="248">
        <f t="shared" si="45"/>
        <v>921566.5399999999</v>
      </c>
    </row>
    <row r="381" spans="1:23" ht="8.25" customHeight="1" hidden="1">
      <c r="A381" s="197"/>
      <c r="B381" s="352"/>
      <c r="C381" s="351"/>
      <c r="D381" s="352"/>
      <c r="E381" s="352"/>
      <c r="F381" s="352"/>
      <c r="G381" s="565"/>
      <c r="H381" s="565"/>
      <c r="I381" s="565"/>
      <c r="J381" s="352"/>
      <c r="K381" s="352"/>
      <c r="L381" s="352"/>
      <c r="M381" s="352"/>
      <c r="N381" s="352"/>
      <c r="O381" s="352"/>
      <c r="P381" s="352"/>
      <c r="Q381" s="352"/>
      <c r="R381" s="352"/>
      <c r="S381" s="352"/>
      <c r="T381" s="352"/>
      <c r="U381" s="352"/>
      <c r="V381" s="352"/>
      <c r="W381" s="352"/>
    </row>
    <row r="382" spans="1:23" ht="0.75" customHeight="1" hidden="1">
      <c r="A382" s="197"/>
      <c r="B382" s="566"/>
      <c r="C382" s="567"/>
      <c r="D382" s="566"/>
      <c r="E382" s="568"/>
      <c r="F382" s="569"/>
      <c r="G382" s="570"/>
      <c r="H382" s="570"/>
      <c r="I382" s="570"/>
      <c r="J382" s="569"/>
      <c r="K382" s="569"/>
      <c r="L382" s="569"/>
      <c r="M382" s="569"/>
      <c r="N382" s="569"/>
      <c r="O382" s="569"/>
      <c r="P382" s="569"/>
      <c r="Q382" s="569"/>
      <c r="R382" s="569"/>
      <c r="S382" s="569"/>
      <c r="T382" s="569"/>
      <c r="U382" s="569"/>
      <c r="V382" s="571"/>
      <c r="W382" s="571"/>
    </row>
    <row r="383" spans="1:23" ht="0.75" customHeight="1" hidden="1">
      <c r="A383" s="197"/>
      <c r="B383" s="352"/>
      <c r="C383" s="351"/>
      <c r="D383" s="352"/>
      <c r="E383" s="352"/>
      <c r="F383" s="352"/>
      <c r="G383" s="565"/>
      <c r="H383" s="565"/>
      <c r="I383" s="565"/>
      <c r="J383" s="352"/>
      <c r="K383" s="352"/>
      <c r="L383" s="352"/>
      <c r="M383" s="352"/>
      <c r="N383" s="352"/>
      <c r="O383" s="352"/>
      <c r="P383" s="352"/>
      <c r="Q383" s="352"/>
      <c r="R383" s="352"/>
      <c r="S383" s="352"/>
      <c r="T383" s="352"/>
      <c r="U383" s="352"/>
      <c r="V383" s="352"/>
      <c r="W383" s="352"/>
    </row>
    <row r="384" spans="1:23" ht="27" customHeight="1" hidden="1">
      <c r="A384" s="197"/>
      <c r="B384" s="352"/>
      <c r="C384" s="351"/>
      <c r="D384" s="352"/>
      <c r="E384" s="352"/>
      <c r="F384" s="352"/>
      <c r="G384" s="565"/>
      <c r="H384" s="565"/>
      <c r="I384" s="565"/>
      <c r="J384" s="352"/>
      <c r="K384" s="352"/>
      <c r="L384" s="352"/>
      <c r="M384" s="352"/>
      <c r="N384" s="352"/>
      <c r="O384" s="352"/>
      <c r="P384" s="352"/>
      <c r="Q384" s="352"/>
      <c r="R384" s="352"/>
      <c r="S384" s="352"/>
      <c r="T384" s="352"/>
      <c r="U384" s="352"/>
      <c r="V384" s="352"/>
      <c r="W384" s="352"/>
    </row>
    <row r="385" spans="2:23" ht="14.25" customHeight="1">
      <c r="B385" s="343"/>
      <c r="C385" s="213"/>
      <c r="D385" s="343"/>
      <c r="E385" s="343"/>
      <c r="F385" s="214"/>
      <c r="G385" s="344"/>
      <c r="H385" s="344"/>
      <c r="I385" s="344"/>
      <c r="J385" s="345"/>
      <c r="K385" s="346"/>
      <c r="L385" s="346"/>
      <c r="M385" s="346"/>
      <c r="N385" s="346"/>
      <c r="O385" s="346"/>
      <c r="P385" s="346"/>
      <c r="Q385" s="346"/>
      <c r="R385" s="346"/>
      <c r="S385" s="346"/>
      <c r="T385" s="202"/>
      <c r="U385" s="202"/>
      <c r="V385" s="202"/>
      <c r="W385" s="526"/>
    </row>
    <row r="386" spans="1:23" ht="15" hidden="1">
      <c r="A386" s="197"/>
      <c r="B386" s="343"/>
      <c r="C386" s="213"/>
      <c r="D386" s="343"/>
      <c r="E386" s="343"/>
      <c r="F386" s="214"/>
      <c r="G386" s="344"/>
      <c r="H386" s="344"/>
      <c r="I386" s="344"/>
      <c r="J386" s="345"/>
      <c r="K386" s="346"/>
      <c r="L386" s="346"/>
      <c r="M386" s="346"/>
      <c r="N386" s="346"/>
      <c r="O386" s="346"/>
      <c r="P386" s="346"/>
      <c r="Q386" s="346"/>
      <c r="R386" s="346"/>
      <c r="S386" s="346"/>
      <c r="T386" s="571"/>
      <c r="U386" s="571"/>
      <c r="V386" s="571"/>
      <c r="W386" s="571"/>
    </row>
    <row r="387" spans="1:23" ht="18" customHeight="1" hidden="1">
      <c r="A387" s="197"/>
      <c r="B387" s="572"/>
      <c r="C387" s="573"/>
      <c r="D387" s="572"/>
      <c r="E387" s="572"/>
      <c r="F387" s="572"/>
      <c r="G387" s="572"/>
      <c r="H387" s="572"/>
      <c r="I387" s="572"/>
      <c r="J387" s="572"/>
      <c r="K387" s="572"/>
      <c r="L387" s="572"/>
      <c r="M387" s="572"/>
      <c r="N387" s="572"/>
      <c r="O387" s="572"/>
      <c r="P387" s="572"/>
      <c r="Q387" s="572"/>
      <c r="R387" s="572"/>
      <c r="S387" s="572"/>
      <c r="T387" s="572"/>
      <c r="U387" s="352"/>
      <c r="V387" s="352"/>
      <c r="W387" s="352"/>
    </row>
    <row r="388" spans="1:23" ht="13.5" hidden="1">
      <c r="A388" s="197"/>
      <c r="B388" s="352"/>
      <c r="C388" s="351"/>
      <c r="D388" s="352"/>
      <c r="E388" s="352"/>
      <c r="F388" s="352"/>
      <c r="G388" s="352"/>
      <c r="H388" s="352"/>
      <c r="I388" s="352"/>
      <c r="J388" s="352"/>
      <c r="K388" s="352"/>
      <c r="L388" s="352"/>
      <c r="M388" s="352"/>
      <c r="N388" s="352"/>
      <c r="O388" s="352"/>
      <c r="P388" s="352"/>
      <c r="Q388" s="352"/>
      <c r="R388" s="352"/>
      <c r="S388" s="352"/>
      <c r="T388" s="352"/>
      <c r="U388" s="352"/>
      <c r="V388" s="352"/>
      <c r="W388" s="352"/>
    </row>
    <row r="389" spans="1:23" ht="13.5" hidden="1">
      <c r="A389" s="197"/>
      <c r="B389" s="574"/>
      <c r="C389" s="575"/>
      <c r="D389" s="574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</row>
    <row r="390" spans="2:23" ht="13.5" hidden="1">
      <c r="B390" s="574"/>
      <c r="C390" s="575"/>
      <c r="D390" s="574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</row>
    <row r="391" spans="1:23" ht="13.5" hidden="1">
      <c r="A391" s="197"/>
      <c r="B391" s="457"/>
      <c r="C391" s="525"/>
      <c r="D391" s="457"/>
      <c r="E391" s="352"/>
      <c r="F391" s="352"/>
      <c r="G391" s="352"/>
      <c r="H391" s="352"/>
      <c r="I391" s="352"/>
      <c r="J391" s="352"/>
      <c r="K391" s="352"/>
      <c r="L391" s="352"/>
      <c r="M391" s="352"/>
      <c r="N391" s="352"/>
      <c r="O391" s="352"/>
      <c r="P391" s="352"/>
      <c r="Q391" s="352"/>
      <c r="R391" s="352"/>
      <c r="S391" s="352"/>
      <c r="T391" s="352"/>
      <c r="U391" s="352"/>
      <c r="V391" s="352"/>
      <c r="W391" s="352"/>
    </row>
    <row r="392" spans="1:23" ht="13.5" hidden="1">
      <c r="A392" s="197"/>
      <c r="B392" s="576"/>
      <c r="C392" s="351"/>
      <c r="D392" s="576"/>
      <c r="E392" s="352"/>
      <c r="F392" s="352"/>
      <c r="G392" s="352"/>
      <c r="H392" s="352"/>
      <c r="I392" s="352"/>
      <c r="J392" s="352"/>
      <c r="K392" s="352"/>
      <c r="L392" s="352"/>
      <c r="M392" s="352"/>
      <c r="N392" s="352"/>
      <c r="O392" s="352"/>
      <c r="P392" s="352"/>
      <c r="Q392" s="352"/>
      <c r="R392" s="352"/>
      <c r="S392" s="352"/>
      <c r="T392" s="352"/>
      <c r="U392" s="352"/>
      <c r="V392" s="352"/>
      <c r="W392" s="352"/>
    </row>
    <row r="393" spans="2:23" ht="13.5" hidden="1">
      <c r="B393" s="202"/>
      <c r="C393" s="525"/>
      <c r="D393" s="202"/>
      <c r="E393" s="202"/>
      <c r="F393" s="202"/>
      <c r="G393" s="577"/>
      <c r="H393" s="577"/>
      <c r="I393" s="577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</row>
    <row r="394" spans="2:23" ht="13.5" hidden="1">
      <c r="B394" s="202"/>
      <c r="C394" s="525"/>
      <c r="D394" s="202"/>
      <c r="E394" s="202"/>
      <c r="F394" s="202"/>
      <c r="G394" s="577"/>
      <c r="H394" s="577"/>
      <c r="I394" s="577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</row>
    <row r="395" spans="2:23" ht="13.5" hidden="1">
      <c r="B395" s="202"/>
      <c r="C395" s="525"/>
      <c r="D395" s="202"/>
      <c r="E395" s="202"/>
      <c r="F395" s="202"/>
      <c r="G395" s="577"/>
      <c r="H395" s="577"/>
      <c r="I395" s="577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</row>
    <row r="396" spans="2:23" ht="13.5" hidden="1">
      <c r="B396" s="202"/>
      <c r="C396" s="525"/>
      <c r="D396" s="202"/>
      <c r="E396" s="202"/>
      <c r="F396" s="202"/>
      <c r="G396" s="577"/>
      <c r="H396" s="577"/>
      <c r="I396" s="577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</row>
    <row r="397" spans="2:23" ht="13.5" hidden="1">
      <c r="B397" s="202"/>
      <c r="C397" s="525"/>
      <c r="D397" s="202"/>
      <c r="E397" s="202"/>
      <c r="F397" s="202"/>
      <c r="G397" s="577"/>
      <c r="H397" s="577"/>
      <c r="I397" s="577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</row>
    <row r="398" spans="2:23" ht="13.5" hidden="1">
      <c r="B398" s="202"/>
      <c r="C398" s="525"/>
      <c r="D398" s="202"/>
      <c r="E398" s="202"/>
      <c r="F398" s="202"/>
      <c r="G398" s="577"/>
      <c r="H398" s="577"/>
      <c r="I398" s="577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</row>
    <row r="399" spans="2:23" ht="13.5" hidden="1">
      <c r="B399" s="202"/>
      <c r="C399" s="525"/>
      <c r="D399" s="202"/>
      <c r="E399" s="202"/>
      <c r="F399" s="202"/>
      <c r="G399" s="577"/>
      <c r="H399" s="577"/>
      <c r="I399" s="577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</row>
    <row r="400" spans="2:23" ht="13.5" hidden="1">
      <c r="B400" s="202"/>
      <c r="C400" s="525"/>
      <c r="D400" s="202"/>
      <c r="E400" s="202"/>
      <c r="F400" s="202"/>
      <c r="G400" s="577"/>
      <c r="H400" s="577"/>
      <c r="I400" s="577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</row>
    <row r="401" spans="2:23" ht="13.5" hidden="1">
      <c r="B401" s="202"/>
      <c r="C401" s="525"/>
      <c r="D401" s="202"/>
      <c r="E401" s="202"/>
      <c r="F401" s="202"/>
      <c r="G401" s="577"/>
      <c r="H401" s="577"/>
      <c r="I401" s="577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</row>
    <row r="402" spans="2:23" ht="13.5" hidden="1">
      <c r="B402" s="202"/>
      <c r="C402" s="525"/>
      <c r="D402" s="202"/>
      <c r="E402" s="202"/>
      <c r="F402" s="202"/>
      <c r="G402" s="577"/>
      <c r="H402" s="577"/>
      <c r="I402" s="577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</row>
    <row r="403" spans="2:23" ht="13.5" hidden="1">
      <c r="B403" s="202"/>
      <c r="C403" s="525"/>
      <c r="D403" s="202"/>
      <c r="E403" s="202"/>
      <c r="F403" s="202"/>
      <c r="G403" s="577"/>
      <c r="H403" s="577"/>
      <c r="I403" s="577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</row>
    <row r="404" spans="2:23" ht="13.5" hidden="1">
      <c r="B404" s="202"/>
      <c r="C404" s="525"/>
      <c r="D404" s="202"/>
      <c r="E404" s="202"/>
      <c r="F404" s="202"/>
      <c r="G404" s="577"/>
      <c r="H404" s="577"/>
      <c r="I404" s="577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</row>
    <row r="405" spans="2:23" ht="13.5" hidden="1">
      <c r="B405" s="202"/>
      <c r="C405" s="525"/>
      <c r="D405" s="202"/>
      <c r="E405" s="202"/>
      <c r="F405" s="202"/>
      <c r="G405" s="577"/>
      <c r="H405" s="577"/>
      <c r="I405" s="577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</row>
    <row r="406" spans="2:23" ht="13.5" hidden="1">
      <c r="B406" s="202"/>
      <c r="C406" s="525"/>
      <c r="D406" s="202"/>
      <c r="E406" s="202"/>
      <c r="F406" s="202"/>
      <c r="G406" s="577"/>
      <c r="H406" s="577"/>
      <c r="I406" s="577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</row>
    <row r="407" spans="1:23" ht="18" customHeight="1">
      <c r="A407" s="197"/>
      <c r="B407" s="341"/>
      <c r="C407" s="342"/>
      <c r="D407" s="341"/>
      <c r="E407" s="343"/>
      <c r="F407" s="214" t="s">
        <v>169</v>
      </c>
      <c r="G407" s="344"/>
      <c r="H407" s="344"/>
      <c r="I407" s="344"/>
      <c r="J407" s="345"/>
      <c r="K407" s="346"/>
      <c r="L407" s="346"/>
      <c r="M407" s="346"/>
      <c r="N407" s="346"/>
      <c r="O407" s="346"/>
      <c r="P407" s="346"/>
      <c r="Q407" s="346"/>
      <c r="R407" s="346" t="s">
        <v>170</v>
      </c>
      <c r="S407" s="346"/>
      <c r="T407" s="340"/>
      <c r="U407" s="340"/>
      <c r="V407" s="340"/>
      <c r="W407" s="340"/>
    </row>
    <row r="409" spans="1:23" ht="18" customHeight="1">
      <c r="A409" s="197"/>
      <c r="B409" s="341"/>
      <c r="C409" s="342"/>
      <c r="D409" s="341"/>
      <c r="E409" s="343"/>
      <c r="F409" s="214" t="s">
        <v>234</v>
      </c>
      <c r="G409" s="344"/>
      <c r="H409" s="344"/>
      <c r="I409" s="344"/>
      <c r="J409" s="345"/>
      <c r="K409" s="346"/>
      <c r="L409" s="346"/>
      <c r="M409" s="346"/>
      <c r="N409" s="346"/>
      <c r="O409" s="346"/>
      <c r="P409" s="346"/>
      <c r="Q409" s="346"/>
      <c r="R409" s="346" t="s">
        <v>167</v>
      </c>
      <c r="S409" s="346"/>
      <c r="T409" s="340"/>
      <c r="U409" s="340"/>
      <c r="V409" s="340"/>
      <c r="W409" s="340"/>
    </row>
    <row r="410" ht="13.5" hidden="1"/>
    <row r="411" spans="1:21" ht="20.25" customHeight="1">
      <c r="A411" s="197"/>
      <c r="B411" s="204"/>
      <c r="C411" s="217"/>
      <c r="D411" s="204"/>
      <c r="E411" s="204"/>
      <c r="F411" s="204"/>
      <c r="G411" s="218"/>
      <c r="H411" s="218"/>
      <c r="I411" s="218"/>
      <c r="J411" s="204"/>
      <c r="K411" s="201"/>
      <c r="L411" s="204"/>
      <c r="M411" s="204"/>
      <c r="N411" s="204"/>
      <c r="O411" s="204"/>
      <c r="P411" s="204"/>
      <c r="Q411" s="204"/>
      <c r="R411" s="202" t="s">
        <v>320</v>
      </c>
      <c r="S411" s="457">
        <v>13</v>
      </c>
      <c r="T411" s="204"/>
      <c r="U411" s="204"/>
    </row>
    <row r="412" spans="1:23" ht="20.25" customHeight="1">
      <c r="A412" s="197"/>
      <c r="B412" s="198"/>
      <c r="C412" s="199"/>
      <c r="D412" s="198"/>
      <c r="E412" s="198"/>
      <c r="F412" s="198"/>
      <c r="G412" s="200"/>
      <c r="H412" s="200"/>
      <c r="I412" s="200"/>
      <c r="J412" s="198"/>
      <c r="K412" s="201"/>
      <c r="L412" s="198"/>
      <c r="M412" s="198"/>
      <c r="N412" s="198"/>
      <c r="O412" s="198"/>
      <c r="P412" s="198"/>
      <c r="Q412" s="198"/>
      <c r="R412" s="929" t="s">
        <v>172</v>
      </c>
      <c r="S412" s="929"/>
      <c r="T412" s="929"/>
      <c r="U412" s="929"/>
      <c r="V412" s="929"/>
      <c r="W412" s="207"/>
    </row>
    <row r="413" spans="1:23" ht="39.75" customHeight="1">
      <c r="A413" s="197"/>
      <c r="B413" s="198"/>
      <c r="C413" s="199"/>
      <c r="D413" s="198"/>
      <c r="E413" s="198"/>
      <c r="F413" s="198"/>
      <c r="G413" s="200"/>
      <c r="H413" s="200"/>
      <c r="I413" s="200"/>
      <c r="J413" s="198"/>
      <c r="K413" s="201"/>
      <c r="L413" s="198"/>
      <c r="M413" s="198"/>
      <c r="N413" s="198"/>
      <c r="O413" s="198"/>
      <c r="P413" s="198"/>
      <c r="Q413" s="198"/>
      <c r="R413" s="930" t="s">
        <v>173</v>
      </c>
      <c r="S413" s="930"/>
      <c r="T413" s="930"/>
      <c r="U413" s="930"/>
      <c r="V413" s="930"/>
      <c r="W413" s="208"/>
    </row>
    <row r="414" spans="1:23" ht="26.25" customHeight="1">
      <c r="A414" s="197"/>
      <c r="B414" s="198"/>
      <c r="C414" s="199"/>
      <c r="D414" s="198"/>
      <c r="E414" s="198"/>
      <c r="F414" s="198"/>
      <c r="G414" s="200"/>
      <c r="H414" s="200"/>
      <c r="I414" s="200"/>
      <c r="J414" s="198"/>
      <c r="K414" s="198"/>
      <c r="L414" s="198"/>
      <c r="M414" s="204"/>
      <c r="N414" s="204"/>
      <c r="O414" s="204"/>
      <c r="P414" s="204"/>
      <c r="Q414" s="204"/>
      <c r="R414" s="931" t="s">
        <v>174</v>
      </c>
      <c r="S414" s="931"/>
      <c r="T414" s="931"/>
      <c r="U414" s="931"/>
      <c r="V414" s="931"/>
      <c r="W414" s="210"/>
    </row>
    <row r="415" spans="1:23" ht="40.5" customHeight="1">
      <c r="A415" s="197"/>
      <c r="B415" s="204"/>
      <c r="C415" s="217"/>
      <c r="D415" s="204"/>
      <c r="E415" s="204"/>
      <c r="F415" s="204"/>
      <c r="G415" s="218"/>
      <c r="H415" s="218"/>
      <c r="I415" s="218"/>
      <c r="J415" s="204"/>
      <c r="K415" s="201"/>
      <c r="L415" s="204"/>
      <c r="M415" s="204"/>
      <c r="N415" s="204"/>
      <c r="O415" s="204"/>
      <c r="P415" s="204"/>
      <c r="Q415" s="204"/>
      <c r="R415" s="929" t="s">
        <v>321</v>
      </c>
      <c r="S415" s="929"/>
      <c r="T415" s="929"/>
      <c r="U415" s="929"/>
      <c r="V415" s="929"/>
      <c r="W415" s="929"/>
    </row>
    <row r="416" spans="1:23" ht="20.25" customHeight="1">
      <c r="A416" s="197"/>
      <c r="B416" s="204"/>
      <c r="C416" s="217"/>
      <c r="D416" s="204"/>
      <c r="E416" s="204"/>
      <c r="F416" s="204"/>
      <c r="G416" s="218"/>
      <c r="H416" s="218"/>
      <c r="I416" s="218"/>
      <c r="J416" s="204"/>
      <c r="K416" s="201"/>
      <c r="L416" s="204"/>
      <c r="M416" s="204"/>
      <c r="N416" s="204"/>
      <c r="O416" s="204"/>
      <c r="P416" s="204"/>
      <c r="Q416" s="204"/>
      <c r="R416" s="402"/>
      <c r="S416" s="210"/>
      <c r="T416" s="210"/>
      <c r="U416" s="210"/>
      <c r="V416" s="210"/>
      <c r="W416" s="210"/>
    </row>
    <row r="417" spans="1:23" ht="18" customHeight="1">
      <c r="A417" s="197"/>
      <c r="B417" s="204"/>
      <c r="C417" s="217"/>
      <c r="D417" s="204"/>
      <c r="E417" s="204"/>
      <c r="F417" s="204"/>
      <c r="G417" s="218"/>
      <c r="H417" s="218"/>
      <c r="I417" s="218"/>
      <c r="J417" s="204"/>
      <c r="K417" s="204"/>
      <c r="L417" s="204"/>
      <c r="M417" s="204"/>
      <c r="N417" s="204"/>
      <c r="O417" s="204"/>
      <c r="P417" s="204"/>
      <c r="Q417" s="204"/>
      <c r="R417" s="204"/>
      <c r="W417" s="349"/>
    </row>
    <row r="418" spans="1:23" ht="15" customHeight="1">
      <c r="A418" s="197"/>
      <c r="B418" s="204"/>
      <c r="C418" s="217"/>
      <c r="D418" s="204"/>
      <c r="E418" s="204"/>
      <c r="F418" s="204"/>
      <c r="G418" s="218"/>
      <c r="H418" s="218"/>
      <c r="I418" s="218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350"/>
    </row>
    <row r="419" spans="1:23" ht="17.25" customHeight="1">
      <c r="A419" s="1073" t="s">
        <v>176</v>
      </c>
      <c r="B419" s="1073"/>
      <c r="C419" s="1073"/>
      <c r="D419" s="1073"/>
      <c r="E419" s="1073"/>
      <c r="F419" s="1073"/>
      <c r="G419" s="1073"/>
      <c r="H419" s="1073"/>
      <c r="I419" s="1073"/>
      <c r="J419" s="1073"/>
      <c r="K419" s="1073"/>
      <c r="L419" s="1073"/>
      <c r="M419" s="1073"/>
      <c r="N419" s="1073"/>
      <c r="O419" s="1073"/>
      <c r="P419" s="1073"/>
      <c r="Q419" s="1073"/>
      <c r="R419" s="204"/>
      <c r="S419" s="204"/>
      <c r="T419" s="204"/>
      <c r="U419" s="204"/>
      <c r="V419" s="204"/>
      <c r="W419" s="204"/>
    </row>
    <row r="420" spans="1:23" ht="36.75" customHeight="1">
      <c r="A420" s="1031" t="s">
        <v>322</v>
      </c>
      <c r="B420" s="1031"/>
      <c r="C420" s="1031"/>
      <c r="D420" s="1031"/>
      <c r="E420" s="1031"/>
      <c r="F420" s="1031"/>
      <c r="G420" s="1031"/>
      <c r="H420" s="1031"/>
      <c r="I420" s="1031"/>
      <c r="J420" s="1031"/>
      <c r="K420" s="1031"/>
      <c r="L420" s="1031"/>
      <c r="M420" s="1031"/>
      <c r="N420" s="1031"/>
      <c r="O420" s="1031"/>
      <c r="P420" s="1031"/>
      <c r="Q420" s="1031"/>
      <c r="R420" s="460"/>
      <c r="S420" s="204"/>
      <c r="T420" s="204"/>
      <c r="U420" s="204"/>
      <c r="V420" s="204"/>
      <c r="W420" s="204"/>
    </row>
    <row r="421" spans="1:23" ht="15" customHeight="1" hidden="1">
      <c r="A421" s="197"/>
      <c r="B421" s="204"/>
      <c r="C421" s="217"/>
      <c r="D421" s="204"/>
      <c r="E421" s="204"/>
      <c r="F421" s="204"/>
      <c r="G421" s="218"/>
      <c r="H421" s="218"/>
      <c r="I421" s="218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</row>
    <row r="422" spans="1:23" ht="15" customHeight="1">
      <c r="A422" s="197"/>
      <c r="B422" s="352" t="s">
        <v>323</v>
      </c>
      <c r="C422" s="351"/>
      <c r="D422" s="352"/>
      <c r="E422" s="352"/>
      <c r="F422" s="352" t="s">
        <v>179</v>
      </c>
      <c r="G422" s="565"/>
      <c r="H422" s="565"/>
      <c r="I422" s="1074" t="s">
        <v>324</v>
      </c>
      <c r="J422" s="1074"/>
      <c r="K422" s="352" t="s">
        <v>325</v>
      </c>
      <c r="L422" s="352"/>
      <c r="M422" s="352" t="s">
        <v>326</v>
      </c>
      <c r="N422" s="352"/>
      <c r="O422" s="352"/>
      <c r="P422" s="204"/>
      <c r="Q422" s="204"/>
      <c r="R422" s="204"/>
      <c r="S422" s="204"/>
      <c r="T422" s="204"/>
      <c r="U422" s="204"/>
      <c r="V422" s="204"/>
      <c r="W422" s="204"/>
    </row>
    <row r="423" spans="1:23" ht="8.25" customHeight="1">
      <c r="A423" s="197"/>
      <c r="B423" s="204"/>
      <c r="C423" s="217"/>
      <c r="D423" s="204"/>
      <c r="E423" s="204"/>
      <c r="F423" s="204"/>
      <c r="G423" s="218"/>
      <c r="H423" s="218"/>
      <c r="I423" s="218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</row>
    <row r="424" spans="1:23" ht="12.75" customHeight="1">
      <c r="A424" s="1003" t="s">
        <v>0</v>
      </c>
      <c r="B424" s="353" t="s">
        <v>1</v>
      </c>
      <c r="C424" s="937" t="s">
        <v>117</v>
      </c>
      <c r="D424" s="937" t="s">
        <v>184</v>
      </c>
      <c r="E424" s="354" t="s">
        <v>2</v>
      </c>
      <c r="F424" s="940" t="s">
        <v>34</v>
      </c>
      <c r="G424" s="940" t="s">
        <v>35</v>
      </c>
      <c r="H424" s="1075" t="s">
        <v>58</v>
      </c>
      <c r="I424" s="1012" t="s">
        <v>39</v>
      </c>
      <c r="J424" s="1016" t="s">
        <v>33</v>
      </c>
      <c r="K424" s="1016"/>
      <c r="L424" s="1016"/>
      <c r="M424" s="1016"/>
      <c r="N424" s="423"/>
      <c r="O424" s="1016" t="s">
        <v>5</v>
      </c>
      <c r="P424" s="1016"/>
      <c r="Q424" s="1016"/>
      <c r="R424" s="1016"/>
      <c r="S424" s="1016"/>
      <c r="T424" s="1016"/>
      <c r="U424" s="1017"/>
      <c r="V424" s="948" t="s">
        <v>100</v>
      </c>
      <c r="W424" s="951" t="s">
        <v>239</v>
      </c>
    </row>
    <row r="425" spans="1:23" ht="12.75" customHeight="1">
      <c r="A425" s="1004"/>
      <c r="B425" s="355" t="s">
        <v>186</v>
      </c>
      <c r="C425" s="938"/>
      <c r="D425" s="938"/>
      <c r="E425" s="355" t="s">
        <v>3</v>
      </c>
      <c r="F425" s="940"/>
      <c r="G425" s="940"/>
      <c r="H425" s="1076"/>
      <c r="I425" s="1013"/>
      <c r="J425" s="1025" t="s">
        <v>187</v>
      </c>
      <c r="K425" s="956" t="s">
        <v>327</v>
      </c>
      <c r="L425" s="1068" t="s">
        <v>328</v>
      </c>
      <c r="M425" s="1078" t="s">
        <v>329</v>
      </c>
      <c r="N425" s="578"/>
      <c r="O425" s="962" t="s">
        <v>192</v>
      </c>
      <c r="P425" s="962" t="s">
        <v>193</v>
      </c>
      <c r="Q425" s="963" t="s">
        <v>194</v>
      </c>
      <c r="R425" s="1027" t="s">
        <v>244</v>
      </c>
      <c r="S425" s="957" t="s">
        <v>20</v>
      </c>
      <c r="T425" s="1079" t="s">
        <v>51</v>
      </c>
      <c r="U425" s="1067" t="s">
        <v>261</v>
      </c>
      <c r="V425" s="949"/>
      <c r="W425" s="952"/>
    </row>
    <row r="426" spans="1:23" ht="13.5">
      <c r="A426" s="1004"/>
      <c r="B426" s="355"/>
      <c r="C426" s="938"/>
      <c r="D426" s="938"/>
      <c r="E426" s="355" t="s">
        <v>4</v>
      </c>
      <c r="F426" s="940"/>
      <c r="G426" s="940"/>
      <c r="H426" s="1076"/>
      <c r="I426" s="1013"/>
      <c r="J426" s="1025"/>
      <c r="K426" s="957"/>
      <c r="L426" s="1068"/>
      <c r="M426" s="1068"/>
      <c r="N426" s="531"/>
      <c r="O426" s="962"/>
      <c r="P426" s="962"/>
      <c r="Q426" s="964"/>
      <c r="R426" s="966"/>
      <c r="S426" s="957"/>
      <c r="T426" s="1080"/>
      <c r="U426" s="1068"/>
      <c r="V426" s="949"/>
      <c r="W426" s="952"/>
    </row>
    <row r="427" spans="1:23" ht="13.5">
      <c r="A427" s="1004"/>
      <c r="B427" s="355"/>
      <c r="C427" s="938"/>
      <c r="D427" s="938"/>
      <c r="E427" s="355"/>
      <c r="F427" s="940"/>
      <c r="G427" s="940"/>
      <c r="H427" s="1076"/>
      <c r="I427" s="1013"/>
      <c r="J427" s="1025"/>
      <c r="K427" s="957"/>
      <c r="L427" s="1068"/>
      <c r="M427" s="1068"/>
      <c r="N427" s="531"/>
      <c r="O427" s="962"/>
      <c r="P427" s="962"/>
      <c r="Q427" s="964"/>
      <c r="R427" s="966"/>
      <c r="S427" s="957"/>
      <c r="T427" s="1080"/>
      <c r="U427" s="1068"/>
      <c r="V427" s="949"/>
      <c r="W427" s="952"/>
    </row>
    <row r="428" spans="1:23" ht="105.75" customHeight="1">
      <c r="A428" s="1005"/>
      <c r="B428" s="357"/>
      <c r="C428" s="939"/>
      <c r="D428" s="939"/>
      <c r="E428" s="426"/>
      <c r="F428" s="940"/>
      <c r="G428" s="940"/>
      <c r="H428" s="1077"/>
      <c r="I428" s="1014"/>
      <c r="J428" s="1026"/>
      <c r="K428" s="958"/>
      <c r="L428" s="1069"/>
      <c r="M428" s="1069"/>
      <c r="N428" s="534" t="s">
        <v>191</v>
      </c>
      <c r="O428" s="962"/>
      <c r="P428" s="962"/>
      <c r="Q428" s="965"/>
      <c r="R428" s="967"/>
      <c r="S428" s="958"/>
      <c r="T428" s="1081"/>
      <c r="U428" s="1069"/>
      <c r="V428" s="950"/>
      <c r="W428" s="953"/>
    </row>
    <row r="429" spans="1:23" ht="18" customHeight="1">
      <c r="A429" s="228">
        <v>1</v>
      </c>
      <c r="B429" s="506" t="s">
        <v>262</v>
      </c>
      <c r="C429" s="536" t="s">
        <v>118</v>
      </c>
      <c r="D429" s="535"/>
      <c r="E429" s="537">
        <v>1</v>
      </c>
      <c r="F429" s="443">
        <v>8679</v>
      </c>
      <c r="G429" s="359">
        <v>17</v>
      </c>
      <c r="H429" s="382">
        <f>F429*E429</f>
        <v>8679</v>
      </c>
      <c r="I429" s="382">
        <f>H429*10%</f>
        <v>867.9000000000001</v>
      </c>
      <c r="J429" s="502">
        <f>(H429+I429+M429+N429+L429)*30%</f>
        <v>3384.8099999999995</v>
      </c>
      <c r="K429" s="502">
        <f>(H429+I429+L429+N429)*20%</f>
        <v>2256.54</v>
      </c>
      <c r="L429" s="499">
        <v>1735.8</v>
      </c>
      <c r="M429" s="489"/>
      <c r="N429" s="499"/>
      <c r="O429" s="499"/>
      <c r="P429" s="499"/>
      <c r="Q429" s="499"/>
      <c r="R429" s="443"/>
      <c r="S429" s="443"/>
      <c r="T429" s="443"/>
      <c r="U429" s="248"/>
      <c r="V429" s="579"/>
      <c r="W429" s="297">
        <f>H429+I429+J429+K429+L429+M429+N429+O429+P429+Q429+R429+S429+T429+U429+V429</f>
        <v>16924.05</v>
      </c>
    </row>
    <row r="430" spans="1:23" ht="13.5" hidden="1">
      <c r="A430" s="254">
        <v>2</v>
      </c>
      <c r="B430" s="580"/>
      <c r="C430" s="581"/>
      <c r="D430" s="580"/>
      <c r="E430" s="248"/>
      <c r="F430" s="315"/>
      <c r="G430" s="582"/>
      <c r="H430" s="436">
        <f aca="true" t="shared" si="46" ref="H430:H485">F430*E430</f>
        <v>0</v>
      </c>
      <c r="I430" s="436">
        <f>H430*10%</f>
        <v>0</v>
      </c>
      <c r="J430" s="438">
        <f>(H430+I430+M430+N430+L430)*30%</f>
        <v>0</v>
      </c>
      <c r="K430" s="438">
        <f>(H430+I430+N430+L430+M430)*20%</f>
        <v>0</v>
      </c>
      <c r="L430" s="438"/>
      <c r="M430" s="439"/>
      <c r="N430" s="439"/>
      <c r="O430" s="439"/>
      <c r="P430" s="439"/>
      <c r="Q430" s="439"/>
      <c r="R430" s="439"/>
      <c r="S430" s="439"/>
      <c r="T430" s="439"/>
      <c r="U430" s="439"/>
      <c r="V430" s="438"/>
      <c r="W430" s="315">
        <f aca="true" t="shared" si="47" ref="W430:W485">H430+I430+J430+K430+L430+M430+N430+O430+P430+Q430+R430+S430+T430+U430+V430</f>
        <v>0</v>
      </c>
    </row>
    <row r="431" spans="1:23" ht="32.25" customHeight="1" hidden="1">
      <c r="A431" s="240">
        <v>2</v>
      </c>
      <c r="B431" s="300"/>
      <c r="C431" s="301"/>
      <c r="D431" s="300"/>
      <c r="E431" s="369"/>
      <c r="F431" s="389"/>
      <c r="G431" s="1082" t="s">
        <v>314</v>
      </c>
      <c r="H431" s="360"/>
      <c r="I431" s="360"/>
      <c r="J431" s="554"/>
      <c r="K431" s="554"/>
      <c r="L431" s="554"/>
      <c r="M431" s="554"/>
      <c r="N431" s="554"/>
      <c r="O431" s="554"/>
      <c r="P431" s="554"/>
      <c r="Q431" s="554"/>
      <c r="R431" s="316"/>
      <c r="S431" s="316"/>
      <c r="T431" s="316"/>
      <c r="U431" s="316"/>
      <c r="V431" s="377"/>
      <c r="W431" s="316"/>
    </row>
    <row r="432" spans="1:23" ht="33" customHeight="1">
      <c r="A432" s="240">
        <v>2</v>
      </c>
      <c r="B432" s="300" t="s">
        <v>315</v>
      </c>
      <c r="C432" s="301" t="s">
        <v>118</v>
      </c>
      <c r="D432" s="300"/>
      <c r="E432" s="369">
        <f>2+0.5</f>
        <v>2.5</v>
      </c>
      <c r="F432" s="290">
        <f>F429*95%</f>
        <v>8245.05</v>
      </c>
      <c r="G432" s="1082"/>
      <c r="H432" s="360">
        <f aca="true" t="shared" si="48" ref="H432:H442">F432*E432</f>
        <v>20612.625</v>
      </c>
      <c r="I432" s="360">
        <f aca="true" t="shared" si="49" ref="I432:I442">H432*10%</f>
        <v>2061.2625000000003</v>
      </c>
      <c r="J432" s="489">
        <f>1813.91+2143.71</f>
        <v>3957.62</v>
      </c>
      <c r="K432" s="489">
        <v>4101.92</v>
      </c>
      <c r="L432" s="489">
        <f>1649.01</f>
        <v>1649.01</v>
      </c>
      <c r="M432" s="554"/>
      <c r="N432" s="554"/>
      <c r="O432" s="554"/>
      <c r="P432" s="554"/>
      <c r="Q432" s="554"/>
      <c r="R432" s="316"/>
      <c r="S432" s="316"/>
      <c r="T432" s="395"/>
      <c r="U432" s="316"/>
      <c r="V432" s="377"/>
      <c r="W432" s="248">
        <f aca="true" t="shared" si="50" ref="W432:W442">H432+I432+J432+K432+L432+M432+N432+O432+P432+Q432+R432+S432+T432+U432+V432</f>
        <v>32382.437499999996</v>
      </c>
    </row>
    <row r="433" spans="1:23" ht="27" customHeight="1">
      <c r="A433" s="240">
        <v>3</v>
      </c>
      <c r="B433" s="506" t="s">
        <v>330</v>
      </c>
      <c r="C433" s="365" t="s">
        <v>118</v>
      </c>
      <c r="D433" s="506"/>
      <c r="E433" s="358">
        <v>1</v>
      </c>
      <c r="F433" s="470">
        <f>F429*95%</f>
        <v>8245.05</v>
      </c>
      <c r="G433" s="583" t="s">
        <v>331</v>
      </c>
      <c r="H433" s="360">
        <f t="shared" si="48"/>
        <v>8245.05</v>
      </c>
      <c r="I433" s="360">
        <f t="shared" si="49"/>
        <v>824.505</v>
      </c>
      <c r="J433" s="489">
        <f>(H433+I433+M433+N433+L433)*30%</f>
        <v>2720.8664999999996</v>
      </c>
      <c r="K433" s="504">
        <f>(H433+I433)*15%</f>
        <v>1360.4332499999998</v>
      </c>
      <c r="L433" s="504"/>
      <c r="M433" s="499"/>
      <c r="N433" s="504"/>
      <c r="O433" s="504"/>
      <c r="P433" s="504"/>
      <c r="Q433" s="504"/>
      <c r="R433" s="237"/>
      <c r="S433" s="237"/>
      <c r="T433" s="472"/>
      <c r="U433" s="544"/>
      <c r="V433" s="545"/>
      <c r="W433" s="248">
        <f t="shared" si="50"/>
        <v>13150.854749999999</v>
      </c>
    </row>
    <row r="434" spans="1:23" s="202" customFormat="1" ht="20.25" customHeight="1">
      <c r="A434" s="240">
        <v>4</v>
      </c>
      <c r="B434" s="267" t="s">
        <v>123</v>
      </c>
      <c r="C434" s="221">
        <v>2340</v>
      </c>
      <c r="D434" s="267"/>
      <c r="E434" s="369">
        <v>1</v>
      </c>
      <c r="F434" s="237">
        <v>6133</v>
      </c>
      <c r="G434" s="328">
        <v>12</v>
      </c>
      <c r="H434" s="250">
        <f t="shared" si="48"/>
        <v>6133</v>
      </c>
      <c r="I434" s="360">
        <f t="shared" si="49"/>
        <v>613.3000000000001</v>
      </c>
      <c r="J434" s="489">
        <f>(H434+I434+M434+N434+L434)*10%</f>
        <v>797.2900000000001</v>
      </c>
      <c r="K434" s="489">
        <f>(H434+I434+L434+N434)*15%</f>
        <v>1195.935</v>
      </c>
      <c r="L434" s="489">
        <f>F434*20%</f>
        <v>1226.6000000000001</v>
      </c>
      <c r="M434" s="489"/>
      <c r="N434" s="489"/>
      <c r="O434" s="489"/>
      <c r="P434" s="489"/>
      <c r="Q434" s="489"/>
      <c r="R434" s="248"/>
      <c r="S434" s="248"/>
      <c r="T434" s="330"/>
      <c r="U434" s="248"/>
      <c r="V434" s="361"/>
      <c r="W434" s="297">
        <f t="shared" si="50"/>
        <v>9966.125</v>
      </c>
    </row>
    <row r="435" spans="1:23" ht="20.25" customHeight="1">
      <c r="A435" s="240">
        <v>5</v>
      </c>
      <c r="B435" s="267" t="s">
        <v>76</v>
      </c>
      <c r="C435" s="221">
        <v>2340</v>
      </c>
      <c r="D435" s="267"/>
      <c r="E435" s="369">
        <v>1</v>
      </c>
      <c r="F435" s="248">
        <v>5699</v>
      </c>
      <c r="G435" s="329">
        <v>11</v>
      </c>
      <c r="H435" s="250">
        <f t="shared" si="48"/>
        <v>5699</v>
      </c>
      <c r="I435" s="360">
        <f t="shared" si="49"/>
        <v>569.9</v>
      </c>
      <c r="J435" s="489">
        <f>(H435+I435+M435+N435+L435)*10%</f>
        <v>740.87</v>
      </c>
      <c r="K435" s="489">
        <f>(H435+I435+L435+N435)*15%</f>
        <v>1111.3049999999998</v>
      </c>
      <c r="L435" s="489">
        <f>F435*20%</f>
        <v>1139.8</v>
      </c>
      <c r="M435" s="489"/>
      <c r="N435" s="489"/>
      <c r="O435" s="489"/>
      <c r="P435" s="489"/>
      <c r="Q435" s="489"/>
      <c r="R435" s="248"/>
      <c r="S435" s="248"/>
      <c r="T435" s="330"/>
      <c r="U435" s="248"/>
      <c r="V435" s="361"/>
      <c r="W435" s="297">
        <f>H435+I435+J435+K435+L435+M435+N435+O435+P435+Q435+R435+S435+T435+U435+V435</f>
        <v>9260.874999999998</v>
      </c>
    </row>
    <row r="436" spans="1:23" ht="25.5" customHeight="1">
      <c r="A436" s="240">
        <v>6</v>
      </c>
      <c r="B436" s="300" t="s">
        <v>201</v>
      </c>
      <c r="C436" s="301" t="s">
        <v>121</v>
      </c>
      <c r="D436" s="300"/>
      <c r="E436" s="248">
        <v>0.75</v>
      </c>
      <c r="F436" s="237">
        <v>7001</v>
      </c>
      <c r="G436" s="286">
        <v>14</v>
      </c>
      <c r="H436" s="250">
        <f t="shared" si="48"/>
        <v>5250.75</v>
      </c>
      <c r="I436" s="360">
        <f t="shared" si="49"/>
        <v>525.075</v>
      </c>
      <c r="J436" s="489">
        <f>(H436+I436+M436+N436+L436)*30%</f>
        <v>1890.2699999999998</v>
      </c>
      <c r="K436" s="489">
        <f>(H436+I436+M436)*15%</f>
        <v>945.1349999999999</v>
      </c>
      <c r="L436" s="489"/>
      <c r="M436" s="489">
        <f>H436*10%</f>
        <v>525.075</v>
      </c>
      <c r="N436" s="489"/>
      <c r="O436" s="489"/>
      <c r="P436" s="489"/>
      <c r="Q436" s="489"/>
      <c r="R436" s="248"/>
      <c r="S436" s="248"/>
      <c r="T436" s="330"/>
      <c r="U436" s="248"/>
      <c r="V436" s="361"/>
      <c r="W436" s="297">
        <f t="shared" si="50"/>
        <v>9136.305</v>
      </c>
    </row>
    <row r="437" spans="1:23" ht="25.5" customHeight="1">
      <c r="A437" s="240">
        <v>7</v>
      </c>
      <c r="B437" s="300" t="s">
        <v>202</v>
      </c>
      <c r="C437" s="301">
        <v>2340</v>
      </c>
      <c r="D437" s="300"/>
      <c r="E437" s="248">
        <v>0.75</v>
      </c>
      <c r="F437" s="248">
        <v>5699</v>
      </c>
      <c r="G437" s="329">
        <v>11</v>
      </c>
      <c r="H437" s="250">
        <f t="shared" si="48"/>
        <v>4274.25</v>
      </c>
      <c r="I437" s="360">
        <f t="shared" si="49"/>
        <v>427.425</v>
      </c>
      <c r="J437" s="489"/>
      <c r="K437" s="489">
        <f>(H437+I437+L437+N437)*15%</f>
        <v>705.25125</v>
      </c>
      <c r="L437" s="489"/>
      <c r="M437" s="489"/>
      <c r="N437" s="489"/>
      <c r="O437" s="489"/>
      <c r="P437" s="489"/>
      <c r="Q437" s="489"/>
      <c r="R437" s="248"/>
      <c r="S437" s="248"/>
      <c r="T437" s="330"/>
      <c r="U437" s="248"/>
      <c r="V437" s="361"/>
      <c r="W437" s="297">
        <f t="shared" si="50"/>
        <v>5406.92625</v>
      </c>
    </row>
    <row r="438" spans="1:23" ht="16.5" customHeight="1">
      <c r="A438" s="240">
        <v>8</v>
      </c>
      <c r="B438" s="300" t="s">
        <v>204</v>
      </c>
      <c r="C438" s="301" t="s">
        <v>205</v>
      </c>
      <c r="D438" s="300"/>
      <c r="E438" s="369">
        <v>1</v>
      </c>
      <c r="F438" s="237">
        <v>5699</v>
      </c>
      <c r="G438" s="286">
        <v>11</v>
      </c>
      <c r="H438" s="250">
        <f t="shared" si="48"/>
        <v>5699</v>
      </c>
      <c r="I438" s="360">
        <f t="shared" si="49"/>
        <v>569.9</v>
      </c>
      <c r="J438" s="489">
        <f>482.13*1.2*1.0835</f>
        <v>626.8654259999998</v>
      </c>
      <c r="K438" s="489">
        <f>(H438+I438+L438+N438)*15%</f>
        <v>940.3349999999999</v>
      </c>
      <c r="L438" s="489"/>
      <c r="M438" s="489"/>
      <c r="N438" s="489"/>
      <c r="O438" s="489"/>
      <c r="P438" s="489"/>
      <c r="Q438" s="489"/>
      <c r="R438" s="248"/>
      <c r="S438" s="248"/>
      <c r="T438" s="330"/>
      <c r="U438" s="248"/>
      <c r="V438" s="361"/>
      <c r="W438" s="297">
        <f t="shared" si="50"/>
        <v>7836.100426</v>
      </c>
    </row>
    <row r="439" spans="1:23" ht="52.5" customHeight="1">
      <c r="A439" s="240">
        <v>9</v>
      </c>
      <c r="B439" s="252" t="s">
        <v>203</v>
      </c>
      <c r="C439" s="253">
        <v>3330</v>
      </c>
      <c r="D439" s="255"/>
      <c r="E439" s="248">
        <v>16</v>
      </c>
      <c r="F439" s="481">
        <v>5265</v>
      </c>
      <c r="G439" s="286">
        <v>10</v>
      </c>
      <c r="H439" s="250">
        <f t="shared" si="48"/>
        <v>84240</v>
      </c>
      <c r="I439" s="360">
        <f t="shared" si="49"/>
        <v>8424</v>
      </c>
      <c r="J439" s="489">
        <v>13004.55</v>
      </c>
      <c r="K439" s="489">
        <v>19506.85</v>
      </c>
      <c r="L439" s="560">
        <f>H439*20%</f>
        <v>16848</v>
      </c>
      <c r="M439" s="554"/>
      <c r="N439" s="554"/>
      <c r="O439" s="554"/>
      <c r="P439" s="554"/>
      <c r="Q439" s="554"/>
      <c r="R439" s="316"/>
      <c r="S439" s="316"/>
      <c r="T439" s="395"/>
      <c r="U439" s="518"/>
      <c r="V439" s="377"/>
      <c r="W439" s="297">
        <f>H439+I439+J439+K439+L439+M439+N439+O439+P439+Q439+R439+S439+T439+U439+V439</f>
        <v>142023.4</v>
      </c>
    </row>
    <row r="440" spans="1:23" ht="24" customHeight="1" hidden="1">
      <c r="A440" s="240">
        <v>10</v>
      </c>
      <c r="B440" s="309" t="s">
        <v>247</v>
      </c>
      <c r="C440" s="310"/>
      <c r="D440" s="309"/>
      <c r="E440" s="369"/>
      <c r="F440" s="315"/>
      <c r="G440" s="517">
        <v>12</v>
      </c>
      <c r="H440" s="314">
        <f t="shared" si="48"/>
        <v>0</v>
      </c>
      <c r="I440" s="376">
        <f t="shared" si="49"/>
        <v>0</v>
      </c>
      <c r="J440" s="554"/>
      <c r="K440" s="554"/>
      <c r="L440" s="584"/>
      <c r="M440" s="554"/>
      <c r="N440" s="554"/>
      <c r="O440" s="554"/>
      <c r="P440" s="554"/>
      <c r="Q440" s="554"/>
      <c r="R440" s="316"/>
      <c r="S440" s="316"/>
      <c r="T440" s="395"/>
      <c r="U440" s="316"/>
      <c r="V440" s="377"/>
      <c r="W440" s="380">
        <f t="shared" si="50"/>
        <v>0</v>
      </c>
    </row>
    <row r="441" spans="1:23" ht="21" customHeight="1" hidden="1">
      <c r="A441" s="240">
        <v>11</v>
      </c>
      <c r="B441" s="309" t="s">
        <v>247</v>
      </c>
      <c r="C441" s="310"/>
      <c r="D441" s="309"/>
      <c r="E441" s="369"/>
      <c r="F441" s="315"/>
      <c r="G441" s="517"/>
      <c r="H441" s="314">
        <f t="shared" si="48"/>
        <v>0</v>
      </c>
      <c r="I441" s="376">
        <f t="shared" si="49"/>
        <v>0</v>
      </c>
      <c r="J441" s="554"/>
      <c r="K441" s="554">
        <f>(H441+I441+L441+N441)*20%</f>
        <v>0</v>
      </c>
      <c r="L441" s="554"/>
      <c r="M441" s="554"/>
      <c r="N441" s="554"/>
      <c r="O441" s="554"/>
      <c r="P441" s="554"/>
      <c r="Q441" s="554"/>
      <c r="R441" s="316"/>
      <c r="S441" s="316"/>
      <c r="T441" s="395"/>
      <c r="U441" s="316"/>
      <c r="V441" s="377"/>
      <c r="W441" s="380">
        <f t="shared" si="50"/>
        <v>0</v>
      </c>
    </row>
    <row r="442" spans="1:23" ht="21" customHeight="1">
      <c r="A442" s="268">
        <v>10</v>
      </c>
      <c r="B442" s="300" t="s">
        <v>264</v>
      </c>
      <c r="C442" s="301">
        <v>3340</v>
      </c>
      <c r="D442" s="309"/>
      <c r="E442" s="369">
        <v>2.5</v>
      </c>
      <c r="F442" s="237">
        <v>5699</v>
      </c>
      <c r="G442" s="286">
        <v>11</v>
      </c>
      <c r="H442" s="250">
        <f t="shared" si="48"/>
        <v>14247.5</v>
      </c>
      <c r="I442" s="360">
        <f t="shared" si="49"/>
        <v>1424.75</v>
      </c>
      <c r="J442" s="489">
        <v>1567.23</v>
      </c>
      <c r="K442" s="489">
        <f>(H442+I442)*15%</f>
        <v>2350.8375</v>
      </c>
      <c r="L442" s="554"/>
      <c r="M442" s="554"/>
      <c r="N442" s="554"/>
      <c r="O442" s="554"/>
      <c r="P442" s="554"/>
      <c r="Q442" s="554"/>
      <c r="R442" s="316"/>
      <c r="S442" s="316"/>
      <c r="T442" s="395"/>
      <c r="U442" s="316"/>
      <c r="V442" s="377"/>
      <c r="W442" s="297">
        <f t="shared" si="50"/>
        <v>19590.3175</v>
      </c>
    </row>
    <row r="443" spans="1:23" ht="22.5" customHeight="1" thickBot="1">
      <c r="A443" s="268">
        <v>11</v>
      </c>
      <c r="B443" s="585" t="s">
        <v>208</v>
      </c>
      <c r="C443" s="586">
        <v>2320</v>
      </c>
      <c r="D443" s="587"/>
      <c r="E443" s="588">
        <v>48.55</v>
      </c>
      <c r="F443" s="589"/>
      <c r="G443" s="590"/>
      <c r="H443" s="591">
        <v>369586.15</v>
      </c>
      <c r="I443" s="592">
        <v>36958.62</v>
      </c>
      <c r="J443" s="588">
        <v>103862.27</v>
      </c>
      <c r="K443" s="588">
        <v>67093.89</v>
      </c>
      <c r="L443" s="589"/>
      <c r="M443" s="589"/>
      <c r="N443" s="589"/>
      <c r="O443" s="588">
        <v>35752.81</v>
      </c>
      <c r="P443" s="588">
        <v>45241.5</v>
      </c>
      <c r="Q443" s="588">
        <v>722.37</v>
      </c>
      <c r="R443" s="589"/>
      <c r="S443" s="589"/>
      <c r="T443" s="589"/>
      <c r="U443" s="589"/>
      <c r="V443" s="589"/>
      <c r="W443" s="588">
        <f>H443+I443+J443+K443+L443+M443+N443+O443+P443+Q443+R443+S443+T443+U443+V443</f>
        <v>659217.61</v>
      </c>
    </row>
    <row r="444" spans="1:23" ht="18.75" customHeight="1" thickBot="1">
      <c r="A444" s="279"/>
      <c r="B444" s="593" t="s">
        <v>265</v>
      </c>
      <c r="C444" s="594"/>
      <c r="D444" s="595"/>
      <c r="E444" s="596">
        <f>E429+E431+E432+E434+E436+E437+E438+E439+E441+E442+E443+E433+E440+E435</f>
        <v>76.05</v>
      </c>
      <c r="F444" s="597"/>
      <c r="G444" s="597"/>
      <c r="H444" s="596">
        <f>H429+H431+H432+H434+H436+H437+H438+H439+H441+H442+H443+H433+H440+H435</f>
        <v>532666.3250000001</v>
      </c>
      <c r="I444" s="596">
        <f aca="true" t="shared" si="51" ref="I444:V444">I429+I431+I432+I434+I436+I437+I438+I439+I441+I442+I443+I433+I440+I435</f>
        <v>53266.6375</v>
      </c>
      <c r="J444" s="596">
        <f t="shared" si="51"/>
        <v>132552.64192599998</v>
      </c>
      <c r="K444" s="596">
        <f t="shared" si="51"/>
        <v>101568.432</v>
      </c>
      <c r="L444" s="596">
        <f>L429+L431+L432+L434+L436+L437+L438+L439+L441+L442+L443+L433+L440+L435</f>
        <v>22599.21</v>
      </c>
      <c r="M444" s="596">
        <f t="shared" si="51"/>
        <v>525.075</v>
      </c>
      <c r="N444" s="596">
        <f t="shared" si="51"/>
        <v>0</v>
      </c>
      <c r="O444" s="596">
        <f t="shared" si="51"/>
        <v>35752.81</v>
      </c>
      <c r="P444" s="596">
        <f t="shared" si="51"/>
        <v>45241.5</v>
      </c>
      <c r="Q444" s="596">
        <f t="shared" si="51"/>
        <v>722.37</v>
      </c>
      <c r="R444" s="596">
        <f t="shared" si="51"/>
        <v>0</v>
      </c>
      <c r="S444" s="596">
        <f t="shared" si="51"/>
        <v>0</v>
      </c>
      <c r="T444" s="596">
        <f t="shared" si="51"/>
        <v>0</v>
      </c>
      <c r="U444" s="596">
        <f t="shared" si="51"/>
        <v>0</v>
      </c>
      <c r="V444" s="596">
        <f t="shared" si="51"/>
        <v>0</v>
      </c>
      <c r="W444" s="598">
        <f>W429+W431+W432+W434+W436+W437+W438+W439+W441+W442+W443+W433+W440+W435</f>
        <v>924895.0014259999</v>
      </c>
    </row>
    <row r="445" spans="1:23" ht="18.75" customHeight="1">
      <c r="A445" s="228">
        <v>12</v>
      </c>
      <c r="B445" s="506" t="s">
        <v>210</v>
      </c>
      <c r="C445" s="365" t="s">
        <v>211</v>
      </c>
      <c r="D445" s="506"/>
      <c r="E445" s="358">
        <v>1</v>
      </c>
      <c r="F445" s="387">
        <v>4745</v>
      </c>
      <c r="G445" s="286">
        <v>8</v>
      </c>
      <c r="H445" s="431">
        <v>4745</v>
      </c>
      <c r="I445" s="250"/>
      <c r="J445" s="237"/>
      <c r="K445" s="237"/>
      <c r="L445" s="237">
        <f>F445*15%</f>
        <v>711.75</v>
      </c>
      <c r="M445" s="237"/>
      <c r="N445" s="237"/>
      <c r="O445" s="237"/>
      <c r="P445" s="237"/>
      <c r="Q445" s="237"/>
      <c r="R445" s="237"/>
      <c r="S445" s="237"/>
      <c r="T445" s="237"/>
      <c r="U445" s="237"/>
      <c r="V445" s="388">
        <f>6700*E445-H445-I445-J445-K445-L445-M445-N445-O445-P445-Q445-U445</f>
        <v>1243.25</v>
      </c>
      <c r="W445" s="237">
        <f t="shared" si="47"/>
        <v>6700</v>
      </c>
    </row>
    <row r="446" spans="1:23" ht="28.5" customHeight="1" hidden="1">
      <c r="A446" s="240">
        <v>10</v>
      </c>
      <c r="B446" s="267"/>
      <c r="C446" s="221"/>
      <c r="D446" s="267"/>
      <c r="E446" s="369"/>
      <c r="F446" s="387"/>
      <c r="G446" s="286"/>
      <c r="H446" s="431">
        <f t="shared" si="46"/>
        <v>0</v>
      </c>
      <c r="I446" s="250"/>
      <c r="J446" s="237"/>
      <c r="K446" s="248"/>
      <c r="L446" s="248"/>
      <c r="M446" s="248"/>
      <c r="N446" s="248"/>
      <c r="O446" s="248"/>
      <c r="P446" s="248"/>
      <c r="Q446" s="248"/>
      <c r="R446" s="248"/>
      <c r="S446" s="248"/>
      <c r="T446" s="248"/>
      <c r="U446" s="248"/>
      <c r="V446" s="388">
        <f>6700*E446-H446-I446-J446-K446-L446-M446-N446-O446-P446-Q446-U446</f>
        <v>0</v>
      </c>
      <c r="W446" s="237">
        <f t="shared" si="47"/>
        <v>0</v>
      </c>
    </row>
    <row r="447" spans="1:23" ht="33.75" customHeight="1" hidden="1">
      <c r="A447" s="240">
        <v>15</v>
      </c>
      <c r="B447" s="267"/>
      <c r="C447" s="221"/>
      <c r="D447" s="267"/>
      <c r="E447" s="369"/>
      <c r="F447" s="387"/>
      <c r="G447" s="431"/>
      <c r="H447" s="431"/>
      <c r="I447" s="250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>
        <f>H447*15%</f>
        <v>0</v>
      </c>
      <c r="V447" s="388">
        <f>6700*E447-H447-I447-J447-K447-L447-M447-N447-O447-P447-Q447-U447</f>
        <v>0</v>
      </c>
      <c r="W447" s="237">
        <f t="shared" si="47"/>
        <v>0</v>
      </c>
    </row>
    <row r="448" spans="1:23" ht="24" customHeight="1">
      <c r="A448" s="240">
        <v>13</v>
      </c>
      <c r="B448" s="300" t="s">
        <v>122</v>
      </c>
      <c r="C448" s="301">
        <v>1239</v>
      </c>
      <c r="D448" s="300"/>
      <c r="E448" s="369">
        <v>2</v>
      </c>
      <c r="F448" s="387">
        <v>4745</v>
      </c>
      <c r="G448" s="328">
        <v>8</v>
      </c>
      <c r="H448" s="431">
        <f t="shared" si="46"/>
        <v>9490</v>
      </c>
      <c r="I448" s="250"/>
      <c r="J448" s="248"/>
      <c r="K448" s="248"/>
      <c r="L448" s="248"/>
      <c r="M448" s="248"/>
      <c r="N448" s="248"/>
      <c r="O448" s="248"/>
      <c r="P448" s="248"/>
      <c r="Q448" s="248"/>
      <c r="R448" s="248"/>
      <c r="S448" s="248"/>
      <c r="T448" s="248"/>
      <c r="U448" s="248"/>
      <c r="V448" s="388">
        <f>6700*E448-H448-I448-J448-K448-L448-M448-N448-O448-P448-Q448-U448</f>
        <v>3910</v>
      </c>
      <c r="W448" s="237">
        <f t="shared" si="47"/>
        <v>13400</v>
      </c>
    </row>
    <row r="449" spans="1:23" ht="23.25" customHeight="1">
      <c r="A449" s="240">
        <v>14</v>
      </c>
      <c r="B449" s="267" t="s">
        <v>212</v>
      </c>
      <c r="C449" s="221">
        <v>3231</v>
      </c>
      <c r="D449" s="267"/>
      <c r="E449" s="369">
        <v>1</v>
      </c>
      <c r="F449" s="387">
        <v>4195</v>
      </c>
      <c r="G449" s="286">
        <v>6</v>
      </c>
      <c r="H449" s="431">
        <f t="shared" si="46"/>
        <v>4195</v>
      </c>
      <c r="I449" s="250"/>
      <c r="J449" s="248">
        <f>F449*20%</f>
        <v>839</v>
      </c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248"/>
      <c r="V449" s="388">
        <f aca="true" t="shared" si="52" ref="V449:V460">6700*E449-H449-I449-J449-K449-L449-M449-N449-O449-P449-Q449-U449</f>
        <v>1666</v>
      </c>
      <c r="W449" s="237">
        <f t="shared" si="47"/>
        <v>6700</v>
      </c>
    </row>
    <row r="450" spans="1:23" ht="21.75" customHeight="1">
      <c r="A450" s="240">
        <v>15</v>
      </c>
      <c r="B450" s="300" t="s">
        <v>216</v>
      </c>
      <c r="C450" s="301">
        <v>4115</v>
      </c>
      <c r="D450" s="300"/>
      <c r="E450" s="369">
        <v>1</v>
      </c>
      <c r="F450" s="387">
        <v>3934</v>
      </c>
      <c r="G450" s="286">
        <v>5</v>
      </c>
      <c r="H450" s="431">
        <f t="shared" si="46"/>
        <v>3934</v>
      </c>
      <c r="I450" s="250"/>
      <c r="J450" s="248"/>
      <c r="K450" s="248"/>
      <c r="L450" s="248"/>
      <c r="M450" s="248"/>
      <c r="N450" s="248"/>
      <c r="O450" s="248"/>
      <c r="P450" s="248"/>
      <c r="Q450" s="248"/>
      <c r="R450" s="248"/>
      <c r="S450" s="248"/>
      <c r="T450" s="248"/>
      <c r="U450" s="248"/>
      <c r="V450" s="388">
        <f t="shared" si="52"/>
        <v>2766</v>
      </c>
      <c r="W450" s="237">
        <f t="shared" si="47"/>
        <v>6700</v>
      </c>
    </row>
    <row r="451" spans="1:23" ht="28.5" customHeight="1">
      <c r="A451" s="240">
        <v>16</v>
      </c>
      <c r="B451" s="300" t="s">
        <v>213</v>
      </c>
      <c r="C451" s="301" t="s">
        <v>284</v>
      </c>
      <c r="D451" s="300"/>
      <c r="E451" s="248">
        <v>1</v>
      </c>
      <c r="F451" s="387">
        <v>5265</v>
      </c>
      <c r="G451" s="286">
        <v>10</v>
      </c>
      <c r="H451" s="431">
        <f t="shared" si="46"/>
        <v>5265</v>
      </c>
      <c r="I451" s="250"/>
      <c r="J451" s="248"/>
      <c r="K451" s="248"/>
      <c r="L451" s="248"/>
      <c r="M451" s="248"/>
      <c r="N451" s="248"/>
      <c r="O451" s="248"/>
      <c r="P451" s="248"/>
      <c r="Q451" s="248"/>
      <c r="R451" s="248"/>
      <c r="S451" s="248"/>
      <c r="T451" s="248"/>
      <c r="U451" s="248">
        <f>H451*50%</f>
        <v>2632.5</v>
      </c>
      <c r="V451" s="388"/>
      <c r="W451" s="237">
        <f t="shared" si="47"/>
        <v>7897.5</v>
      </c>
    </row>
    <row r="452" spans="1:23" ht="42.75" customHeight="1">
      <c r="A452" s="240">
        <v>17</v>
      </c>
      <c r="B452" s="300" t="s">
        <v>332</v>
      </c>
      <c r="C452" s="301">
        <v>7129</v>
      </c>
      <c r="D452" s="300"/>
      <c r="E452" s="369">
        <v>1</v>
      </c>
      <c r="F452" s="387">
        <v>3674</v>
      </c>
      <c r="G452" s="286">
        <v>4</v>
      </c>
      <c r="H452" s="431">
        <f t="shared" si="46"/>
        <v>3674</v>
      </c>
      <c r="I452" s="250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T452" s="248"/>
      <c r="U452" s="248"/>
      <c r="V452" s="388">
        <f t="shared" si="52"/>
        <v>3026</v>
      </c>
      <c r="W452" s="237">
        <f t="shared" si="47"/>
        <v>6700</v>
      </c>
    </row>
    <row r="453" spans="1:23" ht="16.5" customHeight="1">
      <c r="A453" s="240">
        <v>18</v>
      </c>
      <c r="B453" s="300" t="s">
        <v>10</v>
      </c>
      <c r="C453" s="301">
        <v>9152</v>
      </c>
      <c r="D453" s="300"/>
      <c r="E453" s="248">
        <v>2.75</v>
      </c>
      <c r="F453" s="387">
        <v>3153</v>
      </c>
      <c r="G453" s="286">
        <v>2</v>
      </c>
      <c r="H453" s="431">
        <f t="shared" si="46"/>
        <v>8670.75</v>
      </c>
      <c r="I453" s="250"/>
      <c r="J453" s="248"/>
      <c r="K453" s="248"/>
      <c r="L453" s="248"/>
      <c r="M453" s="248"/>
      <c r="N453" s="248"/>
      <c r="O453" s="248"/>
      <c r="P453" s="248"/>
      <c r="Q453" s="248"/>
      <c r="R453" s="248"/>
      <c r="S453" s="248"/>
      <c r="T453" s="290">
        <f>F453*40%*E453</f>
        <v>3468.3</v>
      </c>
      <c r="U453" s="248"/>
      <c r="V453" s="388">
        <f t="shared" si="52"/>
        <v>9754.25</v>
      </c>
      <c r="W453" s="237">
        <f t="shared" si="47"/>
        <v>21893.3</v>
      </c>
    </row>
    <row r="454" spans="1:23" ht="26.25" customHeight="1">
      <c r="A454" s="240">
        <v>19</v>
      </c>
      <c r="B454" s="267" t="s">
        <v>87</v>
      </c>
      <c r="C454" s="221">
        <v>9132</v>
      </c>
      <c r="D454" s="267"/>
      <c r="E454" s="369">
        <v>9</v>
      </c>
      <c r="F454" s="387">
        <v>3153</v>
      </c>
      <c r="G454" s="286">
        <v>2</v>
      </c>
      <c r="H454" s="431">
        <f t="shared" si="46"/>
        <v>28377</v>
      </c>
      <c r="I454" s="250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>
        <f>F454*10%*9</f>
        <v>2837.7000000000003</v>
      </c>
      <c r="T454" s="330"/>
      <c r="U454" s="248"/>
      <c r="V454" s="388">
        <f t="shared" si="52"/>
        <v>31923</v>
      </c>
      <c r="W454" s="237">
        <f t="shared" si="47"/>
        <v>63137.7</v>
      </c>
    </row>
    <row r="455" spans="1:23" ht="29.25" customHeight="1" hidden="1">
      <c r="A455" s="240">
        <v>18</v>
      </c>
      <c r="B455" s="267"/>
      <c r="C455" s="221"/>
      <c r="D455" s="267"/>
      <c r="E455" s="369"/>
      <c r="F455" s="387"/>
      <c r="G455" s="286">
        <v>4</v>
      </c>
      <c r="H455" s="431">
        <f t="shared" si="46"/>
        <v>0</v>
      </c>
      <c r="I455" s="250"/>
      <c r="J455" s="248"/>
      <c r="K455" s="248"/>
      <c r="L455" s="248"/>
      <c r="M455" s="248"/>
      <c r="N455" s="248"/>
      <c r="O455" s="248"/>
      <c r="P455" s="248"/>
      <c r="Q455" s="248"/>
      <c r="R455" s="248"/>
      <c r="S455" s="248"/>
      <c r="T455" s="330">
        <f>F455*E455*40%</f>
        <v>0</v>
      </c>
      <c r="U455" s="248"/>
      <c r="V455" s="388">
        <f t="shared" si="52"/>
        <v>0</v>
      </c>
      <c r="W455" s="237">
        <f t="shared" si="47"/>
        <v>0</v>
      </c>
    </row>
    <row r="456" spans="1:23" ht="16.5" customHeight="1">
      <c r="A456" s="240">
        <v>20</v>
      </c>
      <c r="B456" s="267" t="s">
        <v>68</v>
      </c>
      <c r="C456" s="221">
        <v>3570</v>
      </c>
      <c r="D456" s="267"/>
      <c r="E456" s="369">
        <v>1</v>
      </c>
      <c r="F456" s="387">
        <v>4195</v>
      </c>
      <c r="G456" s="328">
        <v>6</v>
      </c>
      <c r="H456" s="431">
        <f t="shared" si="46"/>
        <v>4195</v>
      </c>
      <c r="I456" s="250"/>
      <c r="J456" s="248"/>
      <c r="K456" s="248"/>
      <c r="L456" s="248"/>
      <c r="M456" s="248"/>
      <c r="N456" s="248"/>
      <c r="O456" s="248"/>
      <c r="P456" s="248"/>
      <c r="Q456" s="248"/>
      <c r="R456" s="290">
        <f>F456*E456*12%</f>
        <v>503.4</v>
      </c>
      <c r="S456" s="248"/>
      <c r="T456" s="330"/>
      <c r="U456" s="248">
        <f>F456*E456*15%</f>
        <v>629.25</v>
      </c>
      <c r="V456" s="388">
        <f t="shared" si="52"/>
        <v>1875.75</v>
      </c>
      <c r="W456" s="237">
        <f t="shared" si="47"/>
        <v>7203.4</v>
      </c>
    </row>
    <row r="457" spans="1:23" ht="15" customHeight="1">
      <c r="A457" s="240">
        <v>21</v>
      </c>
      <c r="B457" s="300" t="s">
        <v>8</v>
      </c>
      <c r="C457" s="301">
        <v>5122</v>
      </c>
      <c r="D457" s="300"/>
      <c r="E457" s="369">
        <v>2</v>
      </c>
      <c r="F457" s="387">
        <v>3934</v>
      </c>
      <c r="G457" s="286">
        <v>5</v>
      </c>
      <c r="H457" s="431">
        <f t="shared" si="46"/>
        <v>7868</v>
      </c>
      <c r="I457" s="250"/>
      <c r="J457" s="248"/>
      <c r="K457" s="248"/>
      <c r="L457" s="248"/>
      <c r="M457" s="248"/>
      <c r="N457" s="248"/>
      <c r="O457" s="248"/>
      <c r="P457" s="248"/>
      <c r="Q457" s="248"/>
      <c r="R457" s="290">
        <f>F457*E457*12%</f>
        <v>944.16</v>
      </c>
      <c r="S457" s="248"/>
      <c r="T457" s="330"/>
      <c r="U457" s="248">
        <f>F457*E457*15%</f>
        <v>1180.2</v>
      </c>
      <c r="V457" s="388">
        <f t="shared" si="52"/>
        <v>4351.8</v>
      </c>
      <c r="W457" s="237">
        <f t="shared" si="47"/>
        <v>14344.16</v>
      </c>
    </row>
    <row r="458" spans="1:23" ht="20.25" customHeight="1">
      <c r="A458" s="240">
        <v>22</v>
      </c>
      <c r="B458" s="267" t="s">
        <v>128</v>
      </c>
      <c r="C458" s="221">
        <v>9132</v>
      </c>
      <c r="D458" s="300"/>
      <c r="E458" s="369">
        <v>1</v>
      </c>
      <c r="F458" s="387">
        <v>2893</v>
      </c>
      <c r="G458" s="286">
        <v>1</v>
      </c>
      <c r="H458" s="431">
        <f t="shared" si="46"/>
        <v>2893</v>
      </c>
      <c r="I458" s="250"/>
      <c r="J458" s="248"/>
      <c r="K458" s="248"/>
      <c r="L458" s="248"/>
      <c r="M458" s="248"/>
      <c r="N458" s="248"/>
      <c r="O458" s="248"/>
      <c r="P458" s="248"/>
      <c r="Q458" s="248"/>
      <c r="R458" s="290">
        <f>F458*E458*12%</f>
        <v>347.15999999999997</v>
      </c>
      <c r="S458" s="248"/>
      <c r="T458" s="330"/>
      <c r="U458" s="248">
        <f>F458*E458*15%</f>
        <v>433.95</v>
      </c>
      <c r="V458" s="388">
        <f t="shared" si="52"/>
        <v>3373.05</v>
      </c>
      <c r="W458" s="237">
        <f t="shared" si="47"/>
        <v>7047.16</v>
      </c>
    </row>
    <row r="459" spans="1:23" ht="15" customHeight="1">
      <c r="A459" s="240">
        <v>23</v>
      </c>
      <c r="B459" s="300" t="s">
        <v>56</v>
      </c>
      <c r="C459" s="301">
        <v>9162</v>
      </c>
      <c r="D459" s="300"/>
      <c r="E459" s="369">
        <v>1</v>
      </c>
      <c r="F459" s="387">
        <v>2893</v>
      </c>
      <c r="G459" s="286">
        <v>1</v>
      </c>
      <c r="H459" s="431">
        <f t="shared" si="46"/>
        <v>2893</v>
      </c>
      <c r="I459" s="250"/>
      <c r="J459" s="248"/>
      <c r="K459" s="248"/>
      <c r="L459" s="248"/>
      <c r="M459" s="248"/>
      <c r="N459" s="248"/>
      <c r="O459" s="248"/>
      <c r="P459" s="248"/>
      <c r="Q459" s="248"/>
      <c r="R459" s="290"/>
      <c r="S459" s="248"/>
      <c r="T459" s="330"/>
      <c r="U459" s="248"/>
      <c r="V459" s="388">
        <f t="shared" si="52"/>
        <v>3807</v>
      </c>
      <c r="W459" s="237">
        <f t="shared" si="47"/>
        <v>6700</v>
      </c>
    </row>
    <row r="460" spans="1:23" ht="19.5" customHeight="1">
      <c r="A460" s="240">
        <v>24</v>
      </c>
      <c r="B460" s="300" t="s">
        <v>12</v>
      </c>
      <c r="C460" s="301">
        <v>4131</v>
      </c>
      <c r="D460" s="300"/>
      <c r="E460" s="369">
        <v>1</v>
      </c>
      <c r="F460" s="387">
        <v>3153</v>
      </c>
      <c r="G460" s="286">
        <v>2</v>
      </c>
      <c r="H460" s="431">
        <f t="shared" si="46"/>
        <v>3153</v>
      </c>
      <c r="I460" s="250"/>
      <c r="J460" s="248"/>
      <c r="K460" s="248"/>
      <c r="L460" s="248"/>
      <c r="M460" s="248"/>
      <c r="N460" s="248"/>
      <c r="O460" s="248"/>
      <c r="P460" s="248"/>
      <c r="Q460" s="248"/>
      <c r="R460" s="290"/>
      <c r="S460" s="248"/>
      <c r="T460" s="330"/>
      <c r="U460" s="248"/>
      <c r="V460" s="388">
        <f t="shared" si="52"/>
        <v>3547</v>
      </c>
      <c r="W460" s="237">
        <f t="shared" si="47"/>
        <v>6700</v>
      </c>
    </row>
    <row r="461" spans="1:23" ht="32.25" customHeight="1">
      <c r="A461" s="254"/>
      <c r="B461" s="1083" t="s">
        <v>333</v>
      </c>
      <c r="C461" s="1084"/>
      <c r="D461" s="1084"/>
      <c r="E461" s="1085"/>
      <c r="F461" s="1085"/>
      <c r="G461" s="1085"/>
      <c r="H461" s="1085"/>
      <c r="I461" s="1085"/>
      <c r="J461" s="1085"/>
      <c r="K461" s="1085"/>
      <c r="L461" s="1085"/>
      <c r="M461" s="1085"/>
      <c r="N461" s="1085"/>
      <c r="O461" s="1085"/>
      <c r="P461" s="1085"/>
      <c r="Q461" s="1085"/>
      <c r="R461" s="1085"/>
      <c r="S461" s="1085"/>
      <c r="T461" s="1085"/>
      <c r="U461" s="1085"/>
      <c r="V461" s="1086"/>
      <c r="W461" s="315"/>
    </row>
    <row r="462" spans="1:23" ht="22.5" customHeight="1">
      <c r="A462" s="240">
        <v>25</v>
      </c>
      <c r="B462" s="300" t="s">
        <v>11</v>
      </c>
      <c r="C462" s="301" t="s">
        <v>119</v>
      </c>
      <c r="D462" s="429"/>
      <c r="E462" s="369">
        <v>1</v>
      </c>
      <c r="F462" s="387">
        <v>6133</v>
      </c>
      <c r="G462" s="286">
        <v>12</v>
      </c>
      <c r="H462" s="508">
        <f>F462*E462</f>
        <v>6133</v>
      </c>
      <c r="I462" s="508">
        <f>H462*10%</f>
        <v>613.3000000000001</v>
      </c>
      <c r="J462" s="248">
        <f>(H462+I462+M462)*30%</f>
        <v>2023.8899999999999</v>
      </c>
      <c r="K462" s="248">
        <f>(H462+I462+M462)*10%</f>
        <v>674.6300000000001</v>
      </c>
      <c r="L462" s="248"/>
      <c r="M462" s="248"/>
      <c r="N462" s="248"/>
      <c r="O462" s="248"/>
      <c r="P462" s="248"/>
      <c r="Q462" s="248"/>
      <c r="R462" s="290"/>
      <c r="S462" s="248"/>
      <c r="T462" s="330"/>
      <c r="U462" s="248"/>
      <c r="V462" s="388"/>
      <c r="W462" s="237">
        <f t="shared" si="47"/>
        <v>9444.82</v>
      </c>
    </row>
    <row r="463" spans="1:23" ht="18.75" customHeight="1">
      <c r="A463" s="240">
        <v>26</v>
      </c>
      <c r="B463" s="300" t="s">
        <v>13</v>
      </c>
      <c r="C463" s="301" t="s">
        <v>121</v>
      </c>
      <c r="D463" s="300"/>
      <c r="E463" s="248">
        <v>0.75</v>
      </c>
      <c r="F463" s="387">
        <v>5699</v>
      </c>
      <c r="G463" s="286">
        <v>11</v>
      </c>
      <c r="H463" s="508">
        <f>F463*E463</f>
        <v>4274.25</v>
      </c>
      <c r="I463" s="508">
        <f aca="true" t="shared" si="53" ref="I463:I475">H463*10%</f>
        <v>427.425</v>
      </c>
      <c r="J463" s="248">
        <f>(H463+I463+M463+L463)*10%</f>
        <v>498.6625</v>
      </c>
      <c r="K463" s="248">
        <f>(H463+I463+M463+L463)*10%</f>
        <v>498.6625</v>
      </c>
      <c r="L463" s="248">
        <f>F463*20%*0.25</f>
        <v>284.95</v>
      </c>
      <c r="M463" s="316"/>
      <c r="N463" s="248"/>
      <c r="O463" s="248"/>
      <c r="P463" s="248"/>
      <c r="Q463" s="248"/>
      <c r="R463" s="290"/>
      <c r="S463" s="248"/>
      <c r="T463" s="330"/>
      <c r="U463" s="248"/>
      <c r="V463" s="388"/>
      <c r="W463" s="237">
        <f t="shared" si="47"/>
        <v>5983.950000000001</v>
      </c>
    </row>
    <row r="464" spans="1:23" ht="15.75" customHeight="1">
      <c r="A464" s="240">
        <v>27</v>
      </c>
      <c r="B464" s="298" t="s">
        <v>27</v>
      </c>
      <c r="C464" s="299" t="s">
        <v>120</v>
      </c>
      <c r="D464" s="300"/>
      <c r="E464" s="248">
        <v>1</v>
      </c>
      <c r="F464" s="387">
        <v>6133</v>
      </c>
      <c r="G464" s="487" t="s">
        <v>66</v>
      </c>
      <c r="H464" s="508">
        <f>F464*E464</f>
        <v>6133</v>
      </c>
      <c r="I464" s="508">
        <f t="shared" si="53"/>
        <v>613.3000000000001</v>
      </c>
      <c r="J464" s="248">
        <f>(H464+I464+M464)*30%</f>
        <v>2299.875</v>
      </c>
      <c r="K464" s="248">
        <f>(H464+I464+M464)*10%</f>
        <v>766.625</v>
      </c>
      <c r="L464" s="316"/>
      <c r="M464" s="248">
        <f>H464*15%</f>
        <v>919.9499999999999</v>
      </c>
      <c r="N464" s="248"/>
      <c r="O464" s="248"/>
      <c r="P464" s="248"/>
      <c r="Q464" s="248"/>
      <c r="R464" s="248"/>
      <c r="S464" s="248"/>
      <c r="T464" s="330"/>
      <c r="U464" s="290"/>
      <c r="V464" s="388"/>
      <c r="W464" s="237">
        <f t="shared" si="47"/>
        <v>10732.75</v>
      </c>
    </row>
    <row r="465" spans="1:23" ht="15.75" customHeight="1">
      <c r="A465" s="240">
        <v>28</v>
      </c>
      <c r="B465" s="298" t="s">
        <v>27</v>
      </c>
      <c r="C465" s="299" t="s">
        <v>120</v>
      </c>
      <c r="D465" s="300"/>
      <c r="E465" s="248">
        <v>0.5</v>
      </c>
      <c r="F465" s="387">
        <v>5005</v>
      </c>
      <c r="G465" s="487" t="s">
        <v>64</v>
      </c>
      <c r="H465" s="508">
        <f>F465*E465</f>
        <v>2502.5</v>
      </c>
      <c r="I465" s="508">
        <f t="shared" si="53"/>
        <v>250.25</v>
      </c>
      <c r="J465" s="248">
        <f>(H465+I465+M465)*30%</f>
        <v>825.8249999999999</v>
      </c>
      <c r="K465" s="248">
        <f>(H465+I465+M465)*10%</f>
        <v>275.27500000000003</v>
      </c>
      <c r="L465" s="316"/>
      <c r="M465" s="316"/>
      <c r="N465" s="248"/>
      <c r="O465" s="248"/>
      <c r="P465" s="248"/>
      <c r="Q465" s="248"/>
      <c r="R465" s="248"/>
      <c r="S465" s="248"/>
      <c r="T465" s="330"/>
      <c r="U465" s="290"/>
      <c r="V465" s="388"/>
      <c r="W465" s="237">
        <f t="shared" si="47"/>
        <v>3853.85</v>
      </c>
    </row>
    <row r="466" spans="1:23" ht="27" customHeight="1">
      <c r="A466" s="240">
        <v>29</v>
      </c>
      <c r="B466" s="300" t="s">
        <v>135</v>
      </c>
      <c r="C466" s="301">
        <v>3475</v>
      </c>
      <c r="D466" s="300"/>
      <c r="E466" s="369">
        <v>1</v>
      </c>
      <c r="F466" s="387">
        <v>5005</v>
      </c>
      <c r="G466" s="487" t="s">
        <v>64</v>
      </c>
      <c r="H466" s="508">
        <f t="shared" si="46"/>
        <v>5005</v>
      </c>
      <c r="I466" s="508">
        <f t="shared" si="53"/>
        <v>500.5</v>
      </c>
      <c r="J466" s="248">
        <f>(H466+I466+M466+L466)*30%</f>
        <v>1726.725</v>
      </c>
      <c r="K466" s="248">
        <f>(H466+I466+M466+L466)*10%</f>
        <v>575.575</v>
      </c>
      <c r="L466" s="248">
        <f>F466*0.25*20%</f>
        <v>250.25</v>
      </c>
      <c r="M466" s="316"/>
      <c r="N466" s="248"/>
      <c r="O466" s="248"/>
      <c r="P466" s="248"/>
      <c r="Q466" s="248"/>
      <c r="R466" s="248"/>
      <c r="S466" s="248"/>
      <c r="T466" s="330"/>
      <c r="U466" s="290"/>
      <c r="V466" s="388"/>
      <c r="W466" s="237">
        <f t="shared" si="47"/>
        <v>8058.05</v>
      </c>
    </row>
    <row r="467" spans="1:23" ht="29.25" customHeight="1">
      <c r="A467" s="240">
        <v>30</v>
      </c>
      <c r="B467" s="300" t="s">
        <v>129</v>
      </c>
      <c r="C467" s="301">
        <v>3231</v>
      </c>
      <c r="D467" s="300"/>
      <c r="E467" s="369">
        <v>1</v>
      </c>
      <c r="F467" s="387">
        <v>4195</v>
      </c>
      <c r="G467" s="487">
        <v>6</v>
      </c>
      <c r="H467" s="508">
        <f t="shared" si="46"/>
        <v>4195</v>
      </c>
      <c r="I467" s="508"/>
      <c r="J467" s="248">
        <f>(H467+I467+M467)*30%</f>
        <v>1384.35</v>
      </c>
      <c r="K467" s="248"/>
      <c r="L467" s="316"/>
      <c r="M467" s="248">
        <f>F467*10%</f>
        <v>419.5</v>
      </c>
      <c r="N467" s="248"/>
      <c r="O467" s="248"/>
      <c r="P467" s="248"/>
      <c r="Q467" s="248"/>
      <c r="R467" s="248"/>
      <c r="S467" s="248"/>
      <c r="T467" s="330"/>
      <c r="U467" s="290"/>
      <c r="V467" s="388">
        <f>6700*E467-H467-I467-J467-K467-L467-M467-N467-O467-P467-Q467-U467</f>
        <v>701.1500000000001</v>
      </c>
      <c r="W467" s="237">
        <f t="shared" si="47"/>
        <v>6700</v>
      </c>
    </row>
    <row r="468" spans="1:23" ht="31.5" customHeight="1">
      <c r="A468" s="240">
        <v>31</v>
      </c>
      <c r="B468" s="300" t="s">
        <v>162</v>
      </c>
      <c r="C468" s="301">
        <v>2332</v>
      </c>
      <c r="D468" s="300"/>
      <c r="E468" s="369">
        <v>1</v>
      </c>
      <c r="F468" s="387">
        <v>7001</v>
      </c>
      <c r="G468" s="487" t="s">
        <v>42</v>
      </c>
      <c r="H468" s="508">
        <f t="shared" si="46"/>
        <v>7001</v>
      </c>
      <c r="I468" s="508">
        <f t="shared" si="53"/>
        <v>700.1</v>
      </c>
      <c r="J468" s="248">
        <f>(H468+I468+M468)*30%</f>
        <v>2625.375</v>
      </c>
      <c r="K468" s="248">
        <f>(H468+I468+M468)*10%</f>
        <v>875.125</v>
      </c>
      <c r="L468" s="316"/>
      <c r="M468" s="248">
        <v>1050.15</v>
      </c>
      <c r="N468" s="248"/>
      <c r="O468" s="248"/>
      <c r="P468" s="248"/>
      <c r="Q468" s="248"/>
      <c r="R468" s="248"/>
      <c r="S468" s="248"/>
      <c r="T468" s="330"/>
      <c r="U468" s="290"/>
      <c r="V468" s="388"/>
      <c r="W468" s="237">
        <f t="shared" si="47"/>
        <v>12251.75</v>
      </c>
    </row>
    <row r="469" spans="1:23" ht="19.5" customHeight="1" hidden="1">
      <c r="A469" s="240">
        <v>34</v>
      </c>
      <c r="B469" s="309" t="s">
        <v>334</v>
      </c>
      <c r="C469" s="310"/>
      <c r="D469" s="309"/>
      <c r="E469" s="515"/>
      <c r="F469" s="516"/>
      <c r="G469" s="599" t="s">
        <v>45</v>
      </c>
      <c r="H469" s="600">
        <f t="shared" si="46"/>
        <v>0</v>
      </c>
      <c r="I469" s="600">
        <f t="shared" si="53"/>
        <v>0</v>
      </c>
      <c r="J469" s="316">
        <f>(H469+I469+M469)*20%</f>
        <v>0</v>
      </c>
      <c r="K469" s="316">
        <f>(H469+I469+M469)*10%</f>
        <v>0</v>
      </c>
      <c r="L469" s="316"/>
      <c r="M469" s="316"/>
      <c r="N469" s="316"/>
      <c r="O469" s="316"/>
      <c r="P469" s="316"/>
      <c r="Q469" s="316"/>
      <c r="R469" s="316"/>
      <c r="S469" s="316"/>
      <c r="T469" s="395"/>
      <c r="U469" s="518"/>
      <c r="V469" s="477"/>
      <c r="W469" s="315">
        <f t="shared" si="47"/>
        <v>0</v>
      </c>
    </row>
    <row r="470" spans="1:23" ht="35.25" customHeight="1">
      <c r="A470" s="240">
        <v>32</v>
      </c>
      <c r="B470" s="300" t="s">
        <v>299</v>
      </c>
      <c r="C470" s="301">
        <v>2332</v>
      </c>
      <c r="D470" s="300"/>
      <c r="E470" s="369">
        <v>1</v>
      </c>
      <c r="F470" s="387">
        <v>6133</v>
      </c>
      <c r="G470" s="487" t="s">
        <v>66</v>
      </c>
      <c r="H470" s="508">
        <f t="shared" si="46"/>
        <v>6133</v>
      </c>
      <c r="I470" s="508">
        <f t="shared" si="53"/>
        <v>613.3000000000001</v>
      </c>
      <c r="J470" s="248">
        <v>1349.26</v>
      </c>
      <c r="K470" s="248">
        <f>(H470+I470+M470)*10%</f>
        <v>674.6300000000001</v>
      </c>
      <c r="L470" s="316"/>
      <c r="M470" s="316"/>
      <c r="N470" s="248"/>
      <c r="O470" s="248"/>
      <c r="P470" s="248"/>
      <c r="Q470" s="248"/>
      <c r="R470" s="248"/>
      <c r="S470" s="248"/>
      <c r="T470" s="330"/>
      <c r="U470" s="290"/>
      <c r="V470" s="388"/>
      <c r="W470" s="237">
        <f t="shared" si="47"/>
        <v>8770.19</v>
      </c>
    </row>
    <row r="471" spans="1:23" ht="29.25" customHeight="1">
      <c r="A471" s="240">
        <v>33</v>
      </c>
      <c r="B471" s="300" t="s">
        <v>223</v>
      </c>
      <c r="C471" s="221">
        <v>2332</v>
      </c>
      <c r="D471" s="267"/>
      <c r="E471" s="248">
        <v>9</v>
      </c>
      <c r="F471" s="387">
        <v>5699</v>
      </c>
      <c r="G471" s="487" t="s">
        <v>53</v>
      </c>
      <c r="H471" s="508">
        <f t="shared" si="46"/>
        <v>51291</v>
      </c>
      <c r="I471" s="508">
        <f t="shared" si="53"/>
        <v>5129.1</v>
      </c>
      <c r="J471" s="248">
        <v>12537.81</v>
      </c>
      <c r="K471" s="248">
        <v>5926.97</v>
      </c>
      <c r="L471" s="248">
        <v>1139.8</v>
      </c>
      <c r="M471" s="248">
        <f>854.85+854.85</f>
        <v>1709.7</v>
      </c>
      <c r="N471" s="248"/>
      <c r="O471" s="248"/>
      <c r="P471" s="248"/>
      <c r="Q471" s="248"/>
      <c r="R471" s="248"/>
      <c r="S471" s="248"/>
      <c r="T471" s="330"/>
      <c r="U471" s="290"/>
      <c r="V471" s="388"/>
      <c r="W471" s="237">
        <f>H471+I471+J471+K471+L471+M471+N471+O471+P471+Q471+R471+S471+T471+U471+V471</f>
        <v>77734.38</v>
      </c>
    </row>
    <row r="472" spans="1:23" ht="27" customHeight="1">
      <c r="A472" s="240">
        <v>34</v>
      </c>
      <c r="B472" s="300" t="s">
        <v>223</v>
      </c>
      <c r="C472" s="221">
        <v>2332</v>
      </c>
      <c r="D472" s="267"/>
      <c r="E472" s="248">
        <v>4</v>
      </c>
      <c r="F472" s="387">
        <v>5265</v>
      </c>
      <c r="G472" s="487" t="s">
        <v>54</v>
      </c>
      <c r="H472" s="508">
        <f t="shared" si="46"/>
        <v>21060</v>
      </c>
      <c r="I472" s="508">
        <f t="shared" si="53"/>
        <v>2106</v>
      </c>
      <c r="J472" s="248">
        <v>3790.8</v>
      </c>
      <c r="K472" s="248">
        <v>2527.2</v>
      </c>
      <c r="L472" s="248">
        <f>1053+1053</f>
        <v>2106</v>
      </c>
      <c r="M472" s="248"/>
      <c r="N472" s="248"/>
      <c r="O472" s="248"/>
      <c r="P472" s="248"/>
      <c r="Q472" s="248"/>
      <c r="R472" s="248"/>
      <c r="S472" s="248"/>
      <c r="T472" s="330"/>
      <c r="U472" s="290"/>
      <c r="V472" s="388"/>
      <c r="W472" s="237">
        <f t="shared" si="47"/>
        <v>31590</v>
      </c>
    </row>
    <row r="473" spans="1:23" ht="17.25" customHeight="1">
      <c r="A473" s="240">
        <v>35</v>
      </c>
      <c r="B473" s="300" t="s">
        <v>123</v>
      </c>
      <c r="C473" s="301">
        <v>2340</v>
      </c>
      <c r="D473" s="300"/>
      <c r="E473" s="369">
        <v>0.5</v>
      </c>
      <c r="F473" s="387">
        <v>6133</v>
      </c>
      <c r="G473" s="286">
        <v>12</v>
      </c>
      <c r="H473" s="508">
        <f t="shared" si="46"/>
        <v>3066.5</v>
      </c>
      <c r="I473" s="508">
        <f t="shared" si="53"/>
        <v>306.65000000000003</v>
      </c>
      <c r="J473" s="248">
        <f>(H473+I473+M473+L473)*10%</f>
        <v>398.645</v>
      </c>
      <c r="K473" s="248">
        <f>(H473+I473+M473+L473)*10%</f>
        <v>398.645</v>
      </c>
      <c r="L473" s="248">
        <v>613.3</v>
      </c>
      <c r="M473" s="316"/>
      <c r="N473" s="248"/>
      <c r="O473" s="248"/>
      <c r="P473" s="248"/>
      <c r="Q473" s="248"/>
      <c r="R473" s="248"/>
      <c r="S473" s="248"/>
      <c r="T473" s="330"/>
      <c r="U473" s="290"/>
      <c r="V473" s="388"/>
      <c r="W473" s="237">
        <f>H473+I473+J473+K473+L473+M473+N473+O473+P473+Q473+R473+S473+T473+U473+V473</f>
        <v>4783.740000000001</v>
      </c>
    </row>
    <row r="474" spans="1:23" ht="18" customHeight="1">
      <c r="A474" s="240">
        <v>36</v>
      </c>
      <c r="B474" s="300" t="s">
        <v>231</v>
      </c>
      <c r="C474" s="301" t="s">
        <v>211</v>
      </c>
      <c r="D474" s="300"/>
      <c r="E474" s="248">
        <v>0.75</v>
      </c>
      <c r="F474" s="387">
        <v>5265</v>
      </c>
      <c r="G474" s="286">
        <v>10</v>
      </c>
      <c r="H474" s="508">
        <f t="shared" si="46"/>
        <v>3948.75</v>
      </c>
      <c r="I474" s="508">
        <f t="shared" si="53"/>
        <v>394.875</v>
      </c>
      <c r="J474" s="248">
        <v>434.36</v>
      </c>
      <c r="K474" s="248">
        <f>(H474+I474+M474)*10%</f>
        <v>434.3625</v>
      </c>
      <c r="L474" s="316"/>
      <c r="M474" s="316"/>
      <c r="N474" s="248"/>
      <c r="O474" s="248"/>
      <c r="P474" s="248"/>
      <c r="Q474" s="248"/>
      <c r="R474" s="248"/>
      <c r="S474" s="248"/>
      <c r="T474" s="330"/>
      <c r="U474" s="290"/>
      <c r="V474" s="388"/>
      <c r="W474" s="237">
        <f t="shared" si="47"/>
        <v>5212.3475</v>
      </c>
    </row>
    <row r="475" spans="1:23" ht="18" customHeight="1">
      <c r="A475" s="240">
        <v>37</v>
      </c>
      <c r="B475" s="300" t="s">
        <v>335</v>
      </c>
      <c r="C475" s="301">
        <v>3330</v>
      </c>
      <c r="D475" s="300"/>
      <c r="E475" s="369">
        <v>2</v>
      </c>
      <c r="F475" s="387">
        <v>5265</v>
      </c>
      <c r="G475" s="286">
        <v>10</v>
      </c>
      <c r="H475" s="508">
        <f t="shared" si="46"/>
        <v>10530</v>
      </c>
      <c r="I475" s="508">
        <f t="shared" si="53"/>
        <v>1053</v>
      </c>
      <c r="J475" s="248">
        <f>(H475+I475+L475)*10%</f>
        <v>1368.9</v>
      </c>
      <c r="K475" s="248">
        <f>(H475+I475+M475+L475)*10%</f>
        <v>1368.9</v>
      </c>
      <c r="L475" s="248">
        <f>H475*20%</f>
        <v>2106</v>
      </c>
      <c r="M475" s="316"/>
      <c r="N475" s="248"/>
      <c r="O475" s="248"/>
      <c r="P475" s="248"/>
      <c r="Q475" s="248"/>
      <c r="R475" s="248"/>
      <c r="S475" s="248"/>
      <c r="T475" s="330"/>
      <c r="U475" s="290"/>
      <c r="V475" s="388"/>
      <c r="W475" s="237">
        <f t="shared" si="47"/>
        <v>16426.8</v>
      </c>
    </row>
    <row r="476" spans="1:23" ht="30.75" customHeight="1">
      <c r="A476" s="240">
        <v>38</v>
      </c>
      <c r="B476" s="267" t="s">
        <v>300</v>
      </c>
      <c r="C476" s="221">
        <v>5131</v>
      </c>
      <c r="D476" s="267"/>
      <c r="E476" s="248">
        <f>6.75-1.25+1</f>
        <v>6.5</v>
      </c>
      <c r="F476" s="387">
        <v>4195</v>
      </c>
      <c r="G476" s="286">
        <v>6</v>
      </c>
      <c r="H476" s="431">
        <f t="shared" si="46"/>
        <v>27267.5</v>
      </c>
      <c r="I476" s="250"/>
      <c r="J476" s="248"/>
      <c r="K476" s="248"/>
      <c r="L476" s="248"/>
      <c r="M476" s="248"/>
      <c r="N476" s="248"/>
      <c r="O476" s="248"/>
      <c r="P476" s="248"/>
      <c r="Q476" s="248"/>
      <c r="R476" s="248"/>
      <c r="S476" s="248"/>
      <c r="T476" s="330"/>
      <c r="U476" s="290"/>
      <c r="V476" s="388">
        <f>6700*E476-H476-I476-J476-K476-L476-M476-N476-O476-P476-Q476-U476</f>
        <v>16282.5</v>
      </c>
      <c r="W476" s="237">
        <f t="shared" si="47"/>
        <v>43550</v>
      </c>
    </row>
    <row r="477" spans="1:23" ht="31.5" customHeight="1">
      <c r="A477" s="240">
        <v>39</v>
      </c>
      <c r="B477" s="267" t="s">
        <v>301</v>
      </c>
      <c r="C477" s="221">
        <v>5131</v>
      </c>
      <c r="D477" s="267"/>
      <c r="E477" s="248">
        <f>4-1</f>
        <v>3</v>
      </c>
      <c r="F477" s="387">
        <v>4195</v>
      </c>
      <c r="G477" s="286">
        <v>6</v>
      </c>
      <c r="H477" s="431">
        <f t="shared" si="46"/>
        <v>12585</v>
      </c>
      <c r="I477" s="250"/>
      <c r="J477" s="248"/>
      <c r="K477" s="248"/>
      <c r="L477" s="248"/>
      <c r="M477" s="248"/>
      <c r="N477" s="248"/>
      <c r="O477" s="248"/>
      <c r="P477" s="248"/>
      <c r="Q477" s="248"/>
      <c r="R477" s="248"/>
      <c r="S477" s="248"/>
      <c r="T477" s="330"/>
      <c r="U477" s="290"/>
      <c r="V477" s="388">
        <f aca="true" t="shared" si="54" ref="V477:V485">6700*E477-H477-I477-J477-K477-L477-M477-N477-O477-P477-Q477-U477</f>
        <v>7515</v>
      </c>
      <c r="W477" s="237">
        <f t="shared" si="47"/>
        <v>20100</v>
      </c>
    </row>
    <row r="478" spans="1:23" ht="19.5" customHeight="1">
      <c r="A478" s="240">
        <v>40</v>
      </c>
      <c r="B478" s="300" t="s">
        <v>8</v>
      </c>
      <c r="C478" s="301">
        <v>5122</v>
      </c>
      <c r="D478" s="300"/>
      <c r="E478" s="369">
        <v>3</v>
      </c>
      <c r="F478" s="387">
        <v>3934</v>
      </c>
      <c r="G478" s="286">
        <v>5</v>
      </c>
      <c r="H478" s="431">
        <f t="shared" si="46"/>
        <v>11802</v>
      </c>
      <c r="I478" s="250"/>
      <c r="J478" s="248"/>
      <c r="K478" s="248"/>
      <c r="L478" s="248"/>
      <c r="M478" s="248"/>
      <c r="N478" s="248"/>
      <c r="O478" s="248"/>
      <c r="P478" s="248"/>
      <c r="Q478" s="248"/>
      <c r="R478" s="248">
        <f>F478*E478*12%</f>
        <v>1416.24</v>
      </c>
      <c r="S478" s="248"/>
      <c r="T478" s="330"/>
      <c r="U478" s="290">
        <f>F478*E478*15%</f>
        <v>1770.3</v>
      </c>
      <c r="V478" s="388">
        <f t="shared" si="54"/>
        <v>6527.7</v>
      </c>
      <c r="W478" s="237">
        <f t="shared" si="47"/>
        <v>21516.239999999998</v>
      </c>
    </row>
    <row r="479" spans="1:23" ht="21" customHeight="1">
      <c r="A479" s="240">
        <v>41</v>
      </c>
      <c r="B479" s="267" t="s">
        <v>128</v>
      </c>
      <c r="C479" s="221">
        <v>9132</v>
      </c>
      <c r="D479" s="300"/>
      <c r="E479" s="369">
        <v>1.5</v>
      </c>
      <c r="F479" s="387">
        <v>2863</v>
      </c>
      <c r="G479" s="286">
        <v>1</v>
      </c>
      <c r="H479" s="431">
        <f t="shared" si="46"/>
        <v>4294.5</v>
      </c>
      <c r="I479" s="250"/>
      <c r="J479" s="248"/>
      <c r="K479" s="248"/>
      <c r="L479" s="248"/>
      <c r="M479" s="248"/>
      <c r="N479" s="248"/>
      <c r="O479" s="248"/>
      <c r="P479" s="248"/>
      <c r="Q479" s="248"/>
      <c r="R479" s="248">
        <f>F479*E479*12%</f>
        <v>515.34</v>
      </c>
      <c r="S479" s="248"/>
      <c r="T479" s="330"/>
      <c r="U479" s="290">
        <f>F479*E479*15%</f>
        <v>644.175</v>
      </c>
      <c r="V479" s="388">
        <f t="shared" si="54"/>
        <v>5111.325</v>
      </c>
      <c r="W479" s="237">
        <f t="shared" si="47"/>
        <v>10565.34</v>
      </c>
    </row>
    <row r="480" spans="1:23" ht="49.5" customHeight="1">
      <c r="A480" s="240">
        <v>42</v>
      </c>
      <c r="B480" s="300" t="s">
        <v>332</v>
      </c>
      <c r="C480" s="301">
        <v>7129</v>
      </c>
      <c r="D480" s="267"/>
      <c r="E480" s="248">
        <v>1</v>
      </c>
      <c r="F480" s="387">
        <v>3674</v>
      </c>
      <c r="G480" s="286">
        <v>4</v>
      </c>
      <c r="H480" s="431">
        <f t="shared" si="46"/>
        <v>3674</v>
      </c>
      <c r="I480" s="250"/>
      <c r="J480" s="248"/>
      <c r="K480" s="248"/>
      <c r="L480" s="248"/>
      <c r="M480" s="248"/>
      <c r="N480" s="248"/>
      <c r="O480" s="248"/>
      <c r="P480" s="248"/>
      <c r="Q480" s="248"/>
      <c r="R480" s="248"/>
      <c r="S480" s="248"/>
      <c r="T480" s="330"/>
      <c r="U480" s="290"/>
      <c r="V480" s="388">
        <f t="shared" si="54"/>
        <v>3026</v>
      </c>
      <c r="W480" s="237">
        <f t="shared" si="47"/>
        <v>6700</v>
      </c>
    </row>
    <row r="481" spans="1:23" ht="45.75" customHeight="1">
      <c r="A481" s="240">
        <v>43</v>
      </c>
      <c r="B481" s="267" t="s">
        <v>24</v>
      </c>
      <c r="C481" s="221">
        <v>8264</v>
      </c>
      <c r="D481" s="267"/>
      <c r="E481" s="369">
        <v>1</v>
      </c>
      <c r="F481" s="387">
        <v>3153</v>
      </c>
      <c r="G481" s="286">
        <v>2</v>
      </c>
      <c r="H481" s="431">
        <f t="shared" si="46"/>
        <v>3153</v>
      </c>
      <c r="I481" s="250"/>
      <c r="J481" s="248"/>
      <c r="K481" s="248"/>
      <c r="L481" s="248"/>
      <c r="M481" s="248"/>
      <c r="N481" s="248"/>
      <c r="O481" s="248"/>
      <c r="P481" s="248"/>
      <c r="Q481" s="248"/>
      <c r="R481" s="248">
        <f>F481*E481*12%</f>
        <v>378.36</v>
      </c>
      <c r="S481" s="248"/>
      <c r="T481" s="330"/>
      <c r="U481" s="290"/>
      <c r="V481" s="388">
        <f t="shared" si="54"/>
        <v>3547</v>
      </c>
      <c r="W481" s="237">
        <f t="shared" si="47"/>
        <v>7078.360000000001</v>
      </c>
    </row>
    <row r="482" spans="1:23" ht="22.5" customHeight="1">
      <c r="A482" s="240">
        <v>44</v>
      </c>
      <c r="B482" s="267" t="s">
        <v>56</v>
      </c>
      <c r="C482" s="221">
        <v>9162</v>
      </c>
      <c r="D482" s="267"/>
      <c r="E482" s="369">
        <v>1</v>
      </c>
      <c r="F482" s="387">
        <v>2893</v>
      </c>
      <c r="G482" s="286">
        <v>1</v>
      </c>
      <c r="H482" s="431">
        <f t="shared" si="46"/>
        <v>2893</v>
      </c>
      <c r="I482" s="250"/>
      <c r="J482" s="248"/>
      <c r="K482" s="248"/>
      <c r="L482" s="248"/>
      <c r="M482" s="248"/>
      <c r="N482" s="248"/>
      <c r="O482" s="248"/>
      <c r="P482" s="248"/>
      <c r="Q482" s="248"/>
      <c r="R482" s="248"/>
      <c r="S482" s="248"/>
      <c r="T482" s="330"/>
      <c r="U482" s="290"/>
      <c r="V482" s="388">
        <f t="shared" si="54"/>
        <v>3807</v>
      </c>
      <c r="W482" s="237">
        <f t="shared" si="47"/>
        <v>6700</v>
      </c>
    </row>
    <row r="483" spans="1:23" ht="22.5" customHeight="1">
      <c r="A483" s="240">
        <v>45</v>
      </c>
      <c r="B483" s="267" t="s">
        <v>10</v>
      </c>
      <c r="C483" s="221">
        <v>9152</v>
      </c>
      <c r="D483" s="267"/>
      <c r="E483" s="248">
        <v>2.25</v>
      </c>
      <c r="F483" s="387">
        <v>3153</v>
      </c>
      <c r="G483" s="286">
        <v>2</v>
      </c>
      <c r="H483" s="431">
        <f t="shared" si="46"/>
        <v>7094.25</v>
      </c>
      <c r="I483" s="250"/>
      <c r="J483" s="248"/>
      <c r="K483" s="248"/>
      <c r="L483" s="248"/>
      <c r="M483" s="248"/>
      <c r="N483" s="248"/>
      <c r="O483" s="248"/>
      <c r="P483" s="248"/>
      <c r="Q483" s="248"/>
      <c r="R483" s="248"/>
      <c r="S483" s="248"/>
      <c r="T483" s="290">
        <f>E483*F483*40%</f>
        <v>2837.7000000000003</v>
      </c>
      <c r="U483" s="290"/>
      <c r="V483" s="388">
        <f t="shared" si="54"/>
        <v>7980.75</v>
      </c>
      <c r="W483" s="237">
        <f t="shared" si="47"/>
        <v>17912.7</v>
      </c>
    </row>
    <row r="484" spans="1:23" ht="24" customHeight="1">
      <c r="A484" s="240">
        <v>46</v>
      </c>
      <c r="B484" s="267" t="s">
        <v>250</v>
      </c>
      <c r="C484" s="221">
        <v>9132</v>
      </c>
      <c r="D484" s="267"/>
      <c r="E484" s="369">
        <v>0.5</v>
      </c>
      <c r="F484" s="387">
        <v>3153</v>
      </c>
      <c r="G484" s="286">
        <v>2</v>
      </c>
      <c r="H484" s="431">
        <f t="shared" si="46"/>
        <v>1576.5</v>
      </c>
      <c r="I484" s="250"/>
      <c r="J484" s="248"/>
      <c r="K484" s="248"/>
      <c r="L484" s="248"/>
      <c r="M484" s="248"/>
      <c r="N484" s="248"/>
      <c r="O484" s="248"/>
      <c r="P484" s="248"/>
      <c r="Q484" s="248"/>
      <c r="R484" s="248"/>
      <c r="S484" s="248">
        <f>F484*10%</f>
        <v>315.3</v>
      </c>
      <c r="T484" s="330"/>
      <c r="U484" s="290"/>
      <c r="V484" s="388">
        <f t="shared" si="54"/>
        <v>1773.5</v>
      </c>
      <c r="W484" s="237">
        <f t="shared" si="47"/>
        <v>3665.3</v>
      </c>
    </row>
    <row r="485" spans="1:23" ht="24" customHeight="1">
      <c r="A485" s="240">
        <v>47</v>
      </c>
      <c r="B485" s="300" t="s">
        <v>12</v>
      </c>
      <c r="C485" s="301">
        <v>4131</v>
      </c>
      <c r="D485" s="300"/>
      <c r="E485" s="369">
        <v>0.5</v>
      </c>
      <c r="F485" s="387">
        <v>3153</v>
      </c>
      <c r="G485" s="286">
        <v>2</v>
      </c>
      <c r="H485" s="431">
        <f t="shared" si="46"/>
        <v>1576.5</v>
      </c>
      <c r="I485" s="250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330"/>
      <c r="U485" s="290"/>
      <c r="V485" s="388">
        <f t="shared" si="54"/>
        <v>1773.5</v>
      </c>
      <c r="W485" s="237">
        <f t="shared" si="47"/>
        <v>3350</v>
      </c>
    </row>
    <row r="486" spans="1:23" ht="13.5" hidden="1">
      <c r="A486" s="240"/>
      <c r="B486" s="267"/>
      <c r="C486" s="221"/>
      <c r="D486" s="267"/>
      <c r="E486" s="248"/>
      <c r="F486" s="387"/>
      <c r="G486" s="286"/>
      <c r="H486" s="286"/>
      <c r="I486" s="286"/>
      <c r="J486" s="248"/>
      <c r="K486" s="248"/>
      <c r="L486" s="248"/>
      <c r="M486" s="248"/>
      <c r="N486" s="248"/>
      <c r="O486" s="248"/>
      <c r="P486" s="248"/>
      <c r="Q486" s="248"/>
      <c r="R486" s="248"/>
      <c r="S486" s="248"/>
      <c r="T486" s="330"/>
      <c r="U486" s="290"/>
      <c r="V486" s="237">
        <f>F486*E486+J486+K486+L486+M486+R486+S486+T486+U486</f>
        <v>0</v>
      </c>
      <c r="W486" s="388">
        <f>3200*E486-(V486-S486-T486-U486)</f>
        <v>0</v>
      </c>
    </row>
    <row r="487" spans="1:23" ht="19.5" customHeight="1">
      <c r="A487" s="453"/>
      <c r="B487" s="303" t="s">
        <v>6</v>
      </c>
      <c r="C487" s="302"/>
      <c r="D487" s="303"/>
      <c r="E487" s="248">
        <f>E444+E445+E447+E448+E449+E450+E452+E453+E454+E456+E457+E458+E459+E460+E462+E463+E464+E466+E467+E471+E472+E473+E474+E476+E477+E478+E479+E480+E481+E482+E483+E484+E485+E451+E465+E469+E470+E468+E475</f>
        <v>144.55</v>
      </c>
      <c r="F487" s="248"/>
      <c r="G487" s="248"/>
      <c r="H487" s="248">
        <f aca="true" t="shared" si="55" ref="H487:W487">H444+H445+H447+H448+H449+H450+H452+H453+H454+H456+H457+H458+H459+H460+H462+H463+H464+H466+H467+H471+H472+H473+H474+H476+H477+H478+H479+H480+H481+H482+H483+H484+H485+H451+H465+H469+H470+H468+H475</f>
        <v>829208.3250000001</v>
      </c>
      <c r="I487" s="248">
        <f t="shared" si="55"/>
        <v>65974.4375</v>
      </c>
      <c r="J487" s="248">
        <f t="shared" si="55"/>
        <v>164656.119426</v>
      </c>
      <c r="K487" s="248">
        <f t="shared" si="55"/>
        <v>116565.032</v>
      </c>
      <c r="L487" s="248">
        <f t="shared" si="55"/>
        <v>29811.26</v>
      </c>
      <c r="M487" s="248">
        <f t="shared" si="55"/>
        <v>4624.375</v>
      </c>
      <c r="N487" s="248">
        <f t="shared" si="55"/>
        <v>0</v>
      </c>
      <c r="O487" s="248">
        <f t="shared" si="55"/>
        <v>35752.81</v>
      </c>
      <c r="P487" s="248">
        <f t="shared" si="55"/>
        <v>45241.5</v>
      </c>
      <c r="Q487" s="248">
        <f t="shared" si="55"/>
        <v>722.37</v>
      </c>
      <c r="R487" s="248">
        <f t="shared" si="55"/>
        <v>4104.66</v>
      </c>
      <c r="S487" s="248">
        <f t="shared" si="55"/>
        <v>3153.0000000000005</v>
      </c>
      <c r="T487" s="248">
        <f t="shared" si="55"/>
        <v>6306</v>
      </c>
      <c r="U487" s="248">
        <f t="shared" si="55"/>
        <v>7290.375</v>
      </c>
      <c r="V487" s="248">
        <f t="shared" si="55"/>
        <v>129288.525</v>
      </c>
      <c r="W487" s="248">
        <f t="shared" si="55"/>
        <v>1442698.7889259998</v>
      </c>
    </row>
    <row r="488" spans="1:23" ht="1.5" customHeight="1">
      <c r="A488" s="197"/>
      <c r="B488" s="204"/>
      <c r="C488" s="217"/>
      <c r="D488" s="204"/>
      <c r="E488" s="204"/>
      <c r="F488" s="204"/>
      <c r="G488" s="218"/>
      <c r="H488" s="218"/>
      <c r="I488" s="218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</row>
    <row r="489" spans="5:23" ht="18.75" customHeight="1" hidden="1">
      <c r="E489" s="349"/>
      <c r="G489" s="203"/>
      <c r="H489" s="203"/>
      <c r="I489" s="203"/>
      <c r="W489" s="349"/>
    </row>
    <row r="490" spans="1:23" ht="14.25" customHeight="1">
      <c r="A490" s="197"/>
      <c r="B490" s="204"/>
      <c r="C490" s="217"/>
      <c r="D490" s="204"/>
      <c r="E490" s="211"/>
      <c r="F490" s="211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04"/>
      <c r="U490" s="204"/>
      <c r="V490" s="204"/>
      <c r="W490" s="204"/>
    </row>
    <row r="491" spans="1:23" ht="18" customHeight="1">
      <c r="A491" s="197"/>
      <c r="B491" s="341"/>
      <c r="C491" s="342"/>
      <c r="D491" s="341"/>
      <c r="E491" s="343"/>
      <c r="F491" s="214" t="s">
        <v>169</v>
      </c>
      <c r="G491" s="344"/>
      <c r="H491" s="344"/>
      <c r="I491" s="344"/>
      <c r="J491" s="345"/>
      <c r="K491" s="346"/>
      <c r="L491" s="346"/>
      <c r="M491" s="346"/>
      <c r="N491" s="346"/>
      <c r="O491" s="346"/>
      <c r="P491" s="346"/>
      <c r="Q491" s="346"/>
      <c r="R491" s="346" t="s">
        <v>170</v>
      </c>
      <c r="S491" s="346"/>
      <c r="T491" s="340"/>
      <c r="U491" s="340"/>
      <c r="V491" s="340"/>
      <c r="W491" s="340"/>
    </row>
    <row r="493" spans="1:23" ht="18" customHeight="1">
      <c r="A493" s="197"/>
      <c r="B493" s="341"/>
      <c r="C493" s="342"/>
      <c r="D493" s="341"/>
      <c r="E493" s="343"/>
      <c r="F493" s="214" t="s">
        <v>234</v>
      </c>
      <c r="G493" s="344"/>
      <c r="H493" s="344"/>
      <c r="I493" s="344"/>
      <c r="J493" s="345"/>
      <c r="K493" s="346"/>
      <c r="L493" s="346"/>
      <c r="M493" s="346"/>
      <c r="N493" s="346"/>
      <c r="O493" s="346"/>
      <c r="P493" s="346"/>
      <c r="Q493" s="346"/>
      <c r="R493" s="346" t="s">
        <v>167</v>
      </c>
      <c r="S493" s="346"/>
      <c r="T493" s="340"/>
      <c r="U493" s="340"/>
      <c r="V493" s="340"/>
      <c r="W493" s="340"/>
    </row>
    <row r="494" spans="1:23" ht="17.25" customHeight="1">
      <c r="A494" s="197"/>
      <c r="B494" s="419"/>
      <c r="C494" s="217"/>
      <c r="D494" s="419"/>
      <c r="E494" s="204"/>
      <c r="F494" s="204"/>
      <c r="G494" s="204"/>
      <c r="H494" s="204"/>
      <c r="I494" s="204"/>
      <c r="J494" s="204"/>
      <c r="K494" s="201"/>
      <c r="L494" s="204"/>
      <c r="M494" s="204"/>
      <c r="N494" s="204"/>
      <c r="O494" s="204"/>
      <c r="P494" s="204"/>
      <c r="Q494" s="204"/>
      <c r="R494" s="202" t="s">
        <v>336</v>
      </c>
      <c r="T494" s="204"/>
      <c r="U494" s="204"/>
      <c r="V494" s="204"/>
      <c r="W494" s="204"/>
    </row>
    <row r="495" spans="1:23" ht="15.75" customHeight="1" hidden="1">
      <c r="A495" s="197"/>
      <c r="B495" s="419"/>
      <c r="C495" s="217"/>
      <c r="D495" s="419"/>
      <c r="E495" s="204"/>
      <c r="F495" s="204"/>
      <c r="G495" s="204"/>
      <c r="H495" s="204"/>
      <c r="I495" s="204"/>
      <c r="J495" s="204"/>
      <c r="K495" s="201"/>
      <c r="L495" s="204"/>
      <c r="M495" s="204"/>
      <c r="N495" s="204"/>
      <c r="O495" s="204"/>
      <c r="P495" s="204"/>
      <c r="Q495" s="204"/>
      <c r="R495" s="928"/>
      <c r="S495" s="928"/>
      <c r="T495" s="928"/>
      <c r="U495" s="205"/>
      <c r="V495" s="205"/>
      <c r="W495" s="205"/>
    </row>
    <row r="496" spans="1:23" ht="15" customHeight="1">
      <c r="A496" s="197"/>
      <c r="B496" s="198"/>
      <c r="C496" s="199"/>
      <c r="D496" s="198"/>
      <c r="E496" s="198"/>
      <c r="F496" s="198"/>
      <c r="G496" s="200"/>
      <c r="H496" s="200"/>
      <c r="I496" s="200"/>
      <c r="J496" s="198"/>
      <c r="K496" s="201"/>
      <c r="L496" s="198"/>
      <c r="M496" s="198"/>
      <c r="N496" s="198"/>
      <c r="O496" s="198"/>
      <c r="P496" s="198"/>
      <c r="Q496" s="198"/>
      <c r="R496" s="929" t="s">
        <v>172</v>
      </c>
      <c r="S496" s="929"/>
      <c r="T496" s="929"/>
      <c r="U496" s="929"/>
      <c r="V496" s="929"/>
      <c r="W496" s="207"/>
    </row>
    <row r="497" spans="1:23" ht="36" customHeight="1">
      <c r="A497" s="197"/>
      <c r="B497" s="198"/>
      <c r="C497" s="199"/>
      <c r="D497" s="198"/>
      <c r="E497" s="198"/>
      <c r="F497" s="198"/>
      <c r="G497" s="200"/>
      <c r="H497" s="200"/>
      <c r="I497" s="200"/>
      <c r="J497" s="198"/>
      <c r="K497" s="201"/>
      <c r="L497" s="198"/>
      <c r="M497" s="198"/>
      <c r="N497" s="198"/>
      <c r="O497" s="198"/>
      <c r="P497" s="198"/>
      <c r="Q497" s="198"/>
      <c r="R497" s="930" t="s">
        <v>173</v>
      </c>
      <c r="S497" s="930"/>
      <c r="T497" s="930"/>
      <c r="U497" s="930"/>
      <c r="V497" s="930"/>
      <c r="W497" s="208"/>
    </row>
    <row r="498" spans="1:23" ht="26.25" customHeight="1">
      <c r="A498" s="197"/>
      <c r="B498" s="198"/>
      <c r="C498" s="199"/>
      <c r="D498" s="198"/>
      <c r="E498" s="198"/>
      <c r="F498" s="198"/>
      <c r="G498" s="200"/>
      <c r="H498" s="200"/>
      <c r="I498" s="200"/>
      <c r="J498" s="198"/>
      <c r="K498" s="198"/>
      <c r="L498" s="198"/>
      <c r="M498" s="204"/>
      <c r="N498" s="204"/>
      <c r="O498" s="204"/>
      <c r="P498" s="204"/>
      <c r="Q498" s="204"/>
      <c r="R498" s="931" t="s">
        <v>174</v>
      </c>
      <c r="S498" s="931"/>
      <c r="T498" s="931"/>
      <c r="U498" s="931"/>
      <c r="V498" s="931"/>
      <c r="W498" s="210"/>
    </row>
    <row r="499" spans="1:23" ht="40.5" customHeight="1">
      <c r="A499" s="197"/>
      <c r="B499" s="204"/>
      <c r="C499" s="217"/>
      <c r="D499" s="204"/>
      <c r="E499" s="204"/>
      <c r="F499" s="204"/>
      <c r="G499" s="218"/>
      <c r="H499" s="218"/>
      <c r="I499" s="218"/>
      <c r="J499" s="204"/>
      <c r="K499" s="201"/>
      <c r="L499" s="204"/>
      <c r="M499" s="204"/>
      <c r="N499" s="204"/>
      <c r="O499" s="204"/>
      <c r="P499" s="204"/>
      <c r="Q499" s="204"/>
      <c r="R499" s="929" t="s">
        <v>337</v>
      </c>
      <c r="S499" s="929"/>
      <c r="T499" s="929"/>
      <c r="U499" s="929"/>
      <c r="V499" s="929"/>
      <c r="W499" s="929"/>
    </row>
    <row r="500" spans="7:23" ht="20.25" customHeight="1" hidden="1">
      <c r="G500" s="203"/>
      <c r="H500" s="203"/>
      <c r="I500" s="203"/>
      <c r="V500" s="349"/>
      <c r="W500" s="205"/>
    </row>
    <row r="501" ht="11.25" customHeight="1">
      <c r="W501" s="204"/>
    </row>
    <row r="502" spans="2:23" ht="15">
      <c r="B502" s="1030" t="s">
        <v>176</v>
      </c>
      <c r="C502" s="1030"/>
      <c r="D502" s="1030"/>
      <c r="E502" s="1030"/>
      <c r="F502" s="1030"/>
      <c r="G502" s="1030"/>
      <c r="H502" s="1030"/>
      <c r="I502" s="1030"/>
      <c r="J502" s="1030"/>
      <c r="K502" s="1030"/>
      <c r="L502" s="1030"/>
      <c r="M502" s="1030"/>
      <c r="N502" s="1030"/>
      <c r="O502" s="1030"/>
      <c r="P502" s="1030"/>
      <c r="W502" s="204"/>
    </row>
    <row r="503" spans="2:17" ht="21.75" customHeight="1">
      <c r="B503" s="974" t="s">
        <v>338</v>
      </c>
      <c r="C503" s="974"/>
      <c r="D503" s="974"/>
      <c r="E503" s="974"/>
      <c r="F503" s="974"/>
      <c r="G503" s="974"/>
      <c r="H503" s="974"/>
      <c r="I503" s="974"/>
      <c r="J503" s="974"/>
      <c r="K503" s="974"/>
      <c r="L503" s="974"/>
      <c r="M503" s="974"/>
      <c r="N503" s="974"/>
      <c r="O503" s="974"/>
      <c r="P503" s="974"/>
      <c r="Q503" s="601"/>
    </row>
    <row r="504" spans="1:23" ht="13.5">
      <c r="A504" s="197"/>
      <c r="B504" s="975" t="s">
        <v>339</v>
      </c>
      <c r="C504" s="975"/>
      <c r="D504" s="975"/>
      <c r="E504" s="975"/>
      <c r="F504" s="975"/>
      <c r="G504" s="975"/>
      <c r="H504" s="975"/>
      <c r="I504" s="975"/>
      <c r="J504" s="975"/>
      <c r="K504" s="975"/>
      <c r="L504" s="975"/>
      <c r="M504" s="975"/>
      <c r="N504" s="975"/>
      <c r="O504" s="352"/>
      <c r="P504" s="352"/>
      <c r="Q504" s="204"/>
      <c r="R504" s="204"/>
      <c r="S504" s="204"/>
      <c r="T504" s="204"/>
      <c r="U504" s="204"/>
      <c r="V504" s="204"/>
      <c r="W504" s="204"/>
    </row>
    <row r="505" spans="1:23" ht="8.25" customHeight="1">
      <c r="A505" s="197"/>
      <c r="B505" s="204"/>
      <c r="C505" s="217"/>
      <c r="D505" s="204"/>
      <c r="E505" s="204"/>
      <c r="F505" s="204"/>
      <c r="G505" s="218"/>
      <c r="H505" s="218"/>
      <c r="I505" s="218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</row>
    <row r="506" spans="1:23" ht="15">
      <c r="A506" s="197"/>
      <c r="B506" s="215" t="s">
        <v>340</v>
      </c>
      <c r="C506" s="214"/>
      <c r="D506" s="215"/>
      <c r="E506" s="352" t="s">
        <v>341</v>
      </c>
      <c r="F506" s="352"/>
      <c r="G506" s="565"/>
      <c r="H506" s="565"/>
      <c r="I506" s="218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</row>
    <row r="507" spans="1:23" ht="2.25" customHeight="1">
      <c r="A507" s="197"/>
      <c r="B507" s="204"/>
      <c r="C507" s="217"/>
      <c r="D507" s="204"/>
      <c r="E507" s="204"/>
      <c r="F507" s="204"/>
      <c r="G507" s="218"/>
      <c r="H507" s="218"/>
      <c r="I507" s="218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</row>
    <row r="508" spans="1:23" ht="12.75" customHeight="1">
      <c r="A508" s="1063" t="s">
        <v>0</v>
      </c>
      <c r="B508" s="353" t="s">
        <v>1</v>
      </c>
      <c r="C508" s="937" t="s">
        <v>117</v>
      </c>
      <c r="D508" s="937" t="s">
        <v>184</v>
      </c>
      <c r="E508" s="354" t="s">
        <v>2</v>
      </c>
      <c r="F508" s="940" t="s">
        <v>34</v>
      </c>
      <c r="G508" s="940" t="s">
        <v>35</v>
      </c>
      <c r="H508" s="1087" t="s">
        <v>58</v>
      </c>
      <c r="I508" s="1012" t="s">
        <v>39</v>
      </c>
      <c r="J508" s="1016" t="s">
        <v>33</v>
      </c>
      <c r="K508" s="1016"/>
      <c r="L508" s="1016"/>
      <c r="M508" s="1016"/>
      <c r="N508" s="423"/>
      <c r="O508" s="1015" t="s">
        <v>5</v>
      </c>
      <c r="P508" s="1016"/>
      <c r="Q508" s="1016"/>
      <c r="R508" s="1016"/>
      <c r="S508" s="1016"/>
      <c r="T508" s="1016"/>
      <c r="U508" s="1017"/>
      <c r="V508" s="948" t="s">
        <v>100</v>
      </c>
      <c r="W508" s="951" t="s">
        <v>257</v>
      </c>
    </row>
    <row r="509" spans="1:23" ht="12.75" customHeight="1">
      <c r="A509" s="1064"/>
      <c r="B509" s="355" t="s">
        <v>186</v>
      </c>
      <c r="C509" s="938"/>
      <c r="D509" s="938"/>
      <c r="E509" s="355" t="s">
        <v>3</v>
      </c>
      <c r="F509" s="940"/>
      <c r="G509" s="940"/>
      <c r="H509" s="1088"/>
      <c r="I509" s="1013"/>
      <c r="J509" s="1090" t="s">
        <v>187</v>
      </c>
      <c r="K509" s="1091" t="s">
        <v>342</v>
      </c>
      <c r="L509" s="1094" t="s">
        <v>343</v>
      </c>
      <c r="M509" s="1094" t="s">
        <v>344</v>
      </c>
      <c r="N509" s="1024" t="s">
        <v>345</v>
      </c>
      <c r="O509" s="962" t="s">
        <v>192</v>
      </c>
      <c r="P509" s="962" t="s">
        <v>193</v>
      </c>
      <c r="Q509" s="963" t="s">
        <v>346</v>
      </c>
      <c r="R509" s="1027" t="s">
        <v>244</v>
      </c>
      <c r="S509" s="1067" t="s">
        <v>20</v>
      </c>
      <c r="T509" s="1067" t="s">
        <v>21</v>
      </c>
      <c r="U509" s="1067" t="s">
        <v>196</v>
      </c>
      <c r="V509" s="949"/>
      <c r="W509" s="952"/>
    </row>
    <row r="510" spans="1:23" ht="13.5">
      <c r="A510" s="1064"/>
      <c r="B510" s="355"/>
      <c r="C510" s="938"/>
      <c r="D510" s="938"/>
      <c r="E510" s="355" t="s">
        <v>4</v>
      </c>
      <c r="F510" s="940"/>
      <c r="G510" s="940"/>
      <c r="H510" s="1088"/>
      <c r="I510" s="1013"/>
      <c r="J510" s="1065"/>
      <c r="K510" s="1092"/>
      <c r="L510" s="1095"/>
      <c r="M510" s="1095"/>
      <c r="N510" s="1025"/>
      <c r="O510" s="962"/>
      <c r="P510" s="962"/>
      <c r="Q510" s="964"/>
      <c r="R510" s="966"/>
      <c r="S510" s="1068"/>
      <c r="T510" s="1068"/>
      <c r="U510" s="1068"/>
      <c r="V510" s="949"/>
      <c r="W510" s="952"/>
    </row>
    <row r="511" spans="1:23" ht="13.5">
      <c r="A511" s="602"/>
      <c r="B511" s="355"/>
      <c r="C511" s="938"/>
      <c r="D511" s="938"/>
      <c r="E511" s="355"/>
      <c r="F511" s="940"/>
      <c r="G511" s="940"/>
      <c r="H511" s="1088"/>
      <c r="I511" s="1013"/>
      <c r="J511" s="1065"/>
      <c r="K511" s="1092"/>
      <c r="L511" s="1095"/>
      <c r="M511" s="1095"/>
      <c r="N511" s="1025"/>
      <c r="O511" s="962"/>
      <c r="P511" s="962"/>
      <c r="Q511" s="964"/>
      <c r="R511" s="966"/>
      <c r="S511" s="1068"/>
      <c r="T511" s="1068"/>
      <c r="U511" s="1068"/>
      <c r="V511" s="949"/>
      <c r="W511" s="952"/>
    </row>
    <row r="512" spans="1:23" ht="105" customHeight="1">
      <c r="A512" s="603"/>
      <c r="B512" s="357"/>
      <c r="C512" s="939"/>
      <c r="D512" s="939"/>
      <c r="E512" s="426"/>
      <c r="F512" s="940"/>
      <c r="G512" s="940"/>
      <c r="H512" s="1089"/>
      <c r="I512" s="1014"/>
      <c r="J512" s="1066"/>
      <c r="K512" s="1093"/>
      <c r="L512" s="1096"/>
      <c r="M512" s="1096"/>
      <c r="N512" s="1026"/>
      <c r="O512" s="962"/>
      <c r="P512" s="962"/>
      <c r="Q512" s="965"/>
      <c r="R512" s="967"/>
      <c r="S512" s="1069"/>
      <c r="T512" s="1069"/>
      <c r="U512" s="1069"/>
      <c r="V512" s="950"/>
      <c r="W512" s="953"/>
    </row>
    <row r="513" spans="1:23" ht="13.5">
      <c r="A513" s="228">
        <v>1</v>
      </c>
      <c r="B513" s="326" t="s">
        <v>262</v>
      </c>
      <c r="C513" s="327" t="s">
        <v>118</v>
      </c>
      <c r="D513" s="326"/>
      <c r="E513" s="358">
        <v>1</v>
      </c>
      <c r="F513" s="237">
        <v>8679</v>
      </c>
      <c r="G513" s="510">
        <v>17</v>
      </c>
      <c r="H513" s="504">
        <f>8679+1735.8</f>
        <v>10414.8</v>
      </c>
      <c r="I513" s="504">
        <v>867.9</v>
      </c>
      <c r="J513" s="237">
        <v>4035.74</v>
      </c>
      <c r="K513" s="237">
        <v>2690.49</v>
      </c>
      <c r="L513" s="237"/>
      <c r="M513" s="237">
        <v>2169.75</v>
      </c>
      <c r="N513" s="237"/>
      <c r="O513" s="237"/>
      <c r="P513" s="237"/>
      <c r="Q513" s="237"/>
      <c r="R513" s="237"/>
      <c r="S513" s="237"/>
      <c r="T513" s="237"/>
      <c r="U513" s="237"/>
      <c r="V513" s="388"/>
      <c r="W513" s="237">
        <f>H513+I513+J513+K513+L513+M513+N513+O513+P513+Q513+R513+S513+T513+U513+V513</f>
        <v>20178.68</v>
      </c>
    </row>
    <row r="514" spans="1:23" ht="15" customHeight="1" hidden="1">
      <c r="A514" s="240" t="s">
        <v>347</v>
      </c>
      <c r="B514" s="267"/>
      <c r="C514" s="221"/>
      <c r="D514" s="267"/>
      <c r="E514" s="369"/>
      <c r="F514" s="237"/>
      <c r="G514" s="604"/>
      <c r="H514" s="604">
        <f aca="true" t="shared" si="56" ref="H514:H545">F514*E514</f>
        <v>0</v>
      </c>
      <c r="I514" s="604">
        <f aca="true" t="shared" si="57" ref="I514:I529">H514*10%</f>
        <v>0</v>
      </c>
      <c r="J514" s="438">
        <f>(H514+I514+M514+N514)*20%</f>
        <v>0</v>
      </c>
      <c r="K514" s="438">
        <f>(F514*E514+M514+N514)*20%</f>
        <v>0</v>
      </c>
      <c r="L514" s="438"/>
      <c r="M514" s="315">
        <f>F514*25%</f>
        <v>0</v>
      </c>
      <c r="N514" s="438">
        <f>F514*E514*5%</f>
        <v>0</v>
      </c>
      <c r="O514" s="438"/>
      <c r="P514" s="438"/>
      <c r="Q514" s="438"/>
      <c r="R514" s="438"/>
      <c r="S514" s="439"/>
      <c r="T514" s="439"/>
      <c r="U514" s="439"/>
      <c r="V514" s="486"/>
      <c r="W514" s="315">
        <f aca="true" t="shared" si="58" ref="W514:W545">H514+I514+J514+K514+L514+M514+N514+O514+P514+Q514+R514+S514+T514+U514+V514</f>
        <v>0</v>
      </c>
    </row>
    <row r="515" spans="1:23" ht="27.75" customHeight="1">
      <c r="A515" s="240">
        <v>2</v>
      </c>
      <c r="B515" s="267" t="s">
        <v>348</v>
      </c>
      <c r="C515" s="221" t="s">
        <v>118</v>
      </c>
      <c r="D515" s="267"/>
      <c r="E515" s="492">
        <v>2</v>
      </c>
      <c r="F515" s="431">
        <f>F513*95%</f>
        <v>8245.05</v>
      </c>
      <c r="G515" s="504" t="s">
        <v>349</v>
      </c>
      <c r="H515" s="504">
        <f>8245.05+8245.05</f>
        <v>16490.1</v>
      </c>
      <c r="I515" s="504">
        <f>824.51+824.51</f>
        <v>1649.02</v>
      </c>
      <c r="J515" s="504">
        <f>2720.87+3339.25</f>
        <v>6060.12</v>
      </c>
      <c r="K515" s="504">
        <f>1360.43+2226.16</f>
        <v>3586.59</v>
      </c>
      <c r="L515" s="504"/>
      <c r="M515" s="366">
        <v>2061.26</v>
      </c>
      <c r="N515" s="504"/>
      <c r="O515" s="504"/>
      <c r="P515" s="504"/>
      <c r="Q515" s="504"/>
      <c r="R515" s="504"/>
      <c r="S515" s="489"/>
      <c r="T515" s="489"/>
      <c r="U515" s="489"/>
      <c r="V515" s="491"/>
      <c r="W515" s="234">
        <f t="shared" si="58"/>
        <v>29847.089999999997</v>
      </c>
    </row>
    <row r="516" spans="1:23" ht="21.75" customHeight="1" hidden="1">
      <c r="A516" s="240"/>
      <c r="B516" s="267"/>
      <c r="C516" s="221"/>
      <c r="D516" s="267"/>
      <c r="E516" s="369"/>
      <c r="F516" s="470">
        <f>F514*95%</f>
        <v>0</v>
      </c>
      <c r="G516" s="605"/>
      <c r="H516" s="604">
        <f t="shared" si="56"/>
        <v>0</v>
      </c>
      <c r="I516" s="604">
        <f t="shared" si="57"/>
        <v>0</v>
      </c>
      <c r="J516" s="438"/>
      <c r="K516" s="438">
        <f>(F516*E516+M516+N516)*20%</f>
        <v>2549.04</v>
      </c>
      <c r="L516" s="438"/>
      <c r="M516" s="439"/>
      <c r="N516" s="438">
        <f>(F516*E516+K516)*20%</f>
        <v>0</v>
      </c>
      <c r="O516" s="438"/>
      <c r="P516" s="438"/>
      <c r="Q516" s="438"/>
      <c r="R516" s="439"/>
      <c r="S516" s="439"/>
      <c r="T516" s="439"/>
      <c r="U516" s="439"/>
      <c r="V516" s="486"/>
      <c r="W516" s="315">
        <f t="shared" si="58"/>
        <v>11180.22</v>
      </c>
    </row>
    <row r="517" spans="1:23" ht="22.5" customHeight="1">
      <c r="A517" s="240">
        <v>3</v>
      </c>
      <c r="B517" s="267" t="s">
        <v>350</v>
      </c>
      <c r="C517" s="221" t="s">
        <v>118</v>
      </c>
      <c r="D517" s="267"/>
      <c r="E517" s="369">
        <v>1</v>
      </c>
      <c r="F517" s="470">
        <f>F513*95%</f>
        <v>8245.05</v>
      </c>
      <c r="G517" s="504" t="s">
        <v>349</v>
      </c>
      <c r="H517" s="504">
        <f t="shared" si="56"/>
        <v>8245.05</v>
      </c>
      <c r="I517" s="504">
        <f t="shared" si="57"/>
        <v>824.505</v>
      </c>
      <c r="J517" s="237">
        <v>1813.91</v>
      </c>
      <c r="K517" s="237">
        <v>1360.43</v>
      </c>
      <c r="L517" s="237"/>
      <c r="M517" s="248"/>
      <c r="N517" s="237"/>
      <c r="O517" s="237"/>
      <c r="P517" s="237"/>
      <c r="Q517" s="237"/>
      <c r="R517" s="248"/>
      <c r="S517" s="248"/>
      <c r="T517" s="248"/>
      <c r="U517" s="248"/>
      <c r="V517" s="388"/>
      <c r="W517" s="237">
        <f t="shared" si="58"/>
        <v>12243.894999999999</v>
      </c>
    </row>
    <row r="518" spans="1:23" ht="20.25" customHeight="1">
      <c r="A518" s="240">
        <v>4</v>
      </c>
      <c r="B518" s="267" t="s">
        <v>201</v>
      </c>
      <c r="C518" s="221" t="s">
        <v>121</v>
      </c>
      <c r="D518" s="267"/>
      <c r="E518" s="369">
        <v>1</v>
      </c>
      <c r="F518" s="237">
        <v>7001</v>
      </c>
      <c r="G518" s="328">
        <v>14</v>
      </c>
      <c r="H518" s="504">
        <f t="shared" si="56"/>
        <v>7001</v>
      </c>
      <c r="I518" s="504">
        <f t="shared" si="57"/>
        <v>700.1</v>
      </c>
      <c r="J518" s="237">
        <v>2520.36</v>
      </c>
      <c r="K518" s="237">
        <v>1260.18</v>
      </c>
      <c r="L518" s="237"/>
      <c r="M518" s="248"/>
      <c r="N518" s="248">
        <v>700.1</v>
      </c>
      <c r="O518" s="248"/>
      <c r="P518" s="248"/>
      <c r="Q518" s="248"/>
      <c r="R518" s="248"/>
      <c r="S518" s="248"/>
      <c r="T518" s="248"/>
      <c r="U518" s="248"/>
      <c r="V518" s="388"/>
      <c r="W518" s="237">
        <f t="shared" si="58"/>
        <v>12181.740000000002</v>
      </c>
    </row>
    <row r="519" spans="1:23" ht="17.25" customHeight="1">
      <c r="A519" s="240">
        <v>5</v>
      </c>
      <c r="B519" s="267" t="s">
        <v>204</v>
      </c>
      <c r="C519" s="221" t="s">
        <v>205</v>
      </c>
      <c r="D519" s="267"/>
      <c r="E519" s="369">
        <v>1</v>
      </c>
      <c r="F519" s="237">
        <v>6567</v>
      </c>
      <c r="G519" s="328" t="s">
        <v>351</v>
      </c>
      <c r="H519" s="504">
        <v>6350</v>
      </c>
      <c r="I519" s="504">
        <v>635</v>
      </c>
      <c r="J519" s="237">
        <f>1155.17+313.45</f>
        <v>1468.6200000000001</v>
      </c>
      <c r="K519" s="237">
        <f>470.17+577.58</f>
        <v>1047.75</v>
      </c>
      <c r="L519" s="237"/>
      <c r="M519" s="248"/>
      <c r="N519" s="248"/>
      <c r="O519" s="248"/>
      <c r="P519" s="248"/>
      <c r="Q519" s="248"/>
      <c r="R519" s="248"/>
      <c r="S519" s="248"/>
      <c r="T519" s="248"/>
      <c r="U519" s="248"/>
      <c r="V519" s="388"/>
      <c r="W519" s="237">
        <f t="shared" si="58"/>
        <v>9501.37</v>
      </c>
    </row>
    <row r="520" spans="1:23" ht="18" customHeight="1">
      <c r="A520" s="240">
        <v>6</v>
      </c>
      <c r="B520" s="267" t="s">
        <v>206</v>
      </c>
      <c r="C520" s="221">
        <v>3340</v>
      </c>
      <c r="D520" s="267"/>
      <c r="E520" s="369">
        <v>1.5</v>
      </c>
      <c r="F520" s="237">
        <v>5265</v>
      </c>
      <c r="G520" s="328">
        <v>10</v>
      </c>
      <c r="H520" s="504">
        <f>F520*E520</f>
        <v>7897.5</v>
      </c>
      <c r="I520" s="504">
        <f t="shared" si="57"/>
        <v>789.75</v>
      </c>
      <c r="J520" s="237">
        <f>579.15+289.58</f>
        <v>868.73</v>
      </c>
      <c r="K520" s="237">
        <f>868.73+434.36</f>
        <v>1303.0900000000001</v>
      </c>
      <c r="L520" s="237"/>
      <c r="M520" s="248"/>
      <c r="N520" s="237"/>
      <c r="O520" s="237"/>
      <c r="P520" s="237"/>
      <c r="Q520" s="237"/>
      <c r="R520" s="248"/>
      <c r="S520" s="248"/>
      <c r="T520" s="248"/>
      <c r="U520" s="248"/>
      <c r="V520" s="388"/>
      <c r="W520" s="237">
        <f t="shared" si="58"/>
        <v>10859.07</v>
      </c>
    </row>
    <row r="521" spans="1:23" ht="17.25" customHeight="1">
      <c r="A521" s="268">
        <v>7</v>
      </c>
      <c r="B521" s="267" t="s">
        <v>352</v>
      </c>
      <c r="C521" s="270">
        <v>3340</v>
      </c>
      <c r="D521" s="269"/>
      <c r="E521" s="442">
        <v>1.5</v>
      </c>
      <c r="F521" s="237">
        <v>5265</v>
      </c>
      <c r="G521" s="328">
        <v>10</v>
      </c>
      <c r="H521" s="504">
        <f>F521*E521</f>
        <v>7897.5</v>
      </c>
      <c r="I521" s="504">
        <f t="shared" si="57"/>
        <v>789.75</v>
      </c>
      <c r="J521" s="237">
        <f>868.73+297.43</f>
        <v>1166.16</v>
      </c>
      <c r="K521" s="237">
        <f>1303.09+296.15</f>
        <v>1599.2399999999998</v>
      </c>
      <c r="L521" s="248"/>
      <c r="M521" s="248">
        <f>H521*25%</f>
        <v>1974.375</v>
      </c>
      <c r="N521" s="248"/>
      <c r="O521" s="248"/>
      <c r="P521" s="248"/>
      <c r="Q521" s="248"/>
      <c r="R521" s="297"/>
      <c r="S521" s="297"/>
      <c r="T521" s="297"/>
      <c r="U521" s="297"/>
      <c r="V521" s="388"/>
      <c r="W521" s="237">
        <f>H521+I521+J521+K521+L521+M521+N521+O521+P521+Q521+R521+S521+T521+U521+V521</f>
        <v>13427.025</v>
      </c>
    </row>
    <row r="522" spans="1:23" ht="16.5" customHeight="1">
      <c r="A522" s="268">
        <v>9</v>
      </c>
      <c r="B522" s="269" t="s">
        <v>202</v>
      </c>
      <c r="C522" s="270">
        <v>2340</v>
      </c>
      <c r="D522" s="269"/>
      <c r="E522" s="442">
        <v>1</v>
      </c>
      <c r="F522" s="248">
        <v>6567</v>
      </c>
      <c r="G522" s="329">
        <v>13</v>
      </c>
      <c r="H522" s="504">
        <f aca="true" t="shared" si="59" ref="H522:H529">F522*E522</f>
        <v>6567</v>
      </c>
      <c r="I522" s="504">
        <f t="shared" si="57"/>
        <v>656.7</v>
      </c>
      <c r="J522" s="237">
        <f>(H522+I522+M522+N522)*30%</f>
        <v>2167.1099999999997</v>
      </c>
      <c r="K522" s="237">
        <v>1083.56</v>
      </c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388"/>
      <c r="W522" s="237">
        <f t="shared" si="58"/>
        <v>10474.369999999999</v>
      </c>
    </row>
    <row r="523" spans="1:23" ht="56.25" customHeight="1">
      <c r="A523" s="240">
        <v>10</v>
      </c>
      <c r="B523" s="267" t="s">
        <v>203</v>
      </c>
      <c r="C523" s="221">
        <v>3330</v>
      </c>
      <c r="D523" s="267"/>
      <c r="E523" s="391">
        <v>9</v>
      </c>
      <c r="F523" s="480">
        <v>5265</v>
      </c>
      <c r="G523" s="487" t="s">
        <v>353</v>
      </c>
      <c r="H523" s="504">
        <f>5265+5699+5699+5265+26325</f>
        <v>48253</v>
      </c>
      <c r="I523" s="504">
        <f t="shared" si="57"/>
        <v>4825.3</v>
      </c>
      <c r="J523" s="480">
        <f>684.45+2222.61+1481.74+684.45+3422.25</f>
        <v>8495.5</v>
      </c>
      <c r="K523" s="480">
        <f>1026.68+1111.31+1111.31+1026.68+5133.38</f>
        <v>9409.36</v>
      </c>
      <c r="L523" s="606"/>
      <c r="M523" s="606">
        <f>1053+1139.8+1139.8+1053+5265</f>
        <v>9650.6</v>
      </c>
      <c r="N523" s="606"/>
      <c r="O523" s="606"/>
      <c r="P523" s="606"/>
      <c r="Q523" s="606"/>
      <c r="R523" s="606"/>
      <c r="S523" s="606"/>
      <c r="T523" s="606"/>
      <c r="U523" s="606"/>
      <c r="V523" s="388"/>
      <c r="W523" s="480">
        <f>H523+I523+J523+K523+L523+M523+N523+O523+P523+Q523+R523+S523+T523+U523+V523</f>
        <v>80633.76000000001</v>
      </c>
    </row>
    <row r="524" spans="1:23" ht="18.75" customHeight="1">
      <c r="A524" s="268">
        <v>11</v>
      </c>
      <c r="B524" s="267" t="s">
        <v>123</v>
      </c>
      <c r="C524" s="221">
        <v>2340</v>
      </c>
      <c r="D524" s="267"/>
      <c r="E524" s="391">
        <v>1</v>
      </c>
      <c r="F524" s="480">
        <v>5699</v>
      </c>
      <c r="G524" s="286">
        <v>11</v>
      </c>
      <c r="H524" s="504">
        <f t="shared" si="59"/>
        <v>5699</v>
      </c>
      <c r="I524" s="504">
        <f t="shared" si="57"/>
        <v>569.9</v>
      </c>
      <c r="J524" s="480">
        <v>740.87</v>
      </c>
      <c r="K524" s="480">
        <v>1111.31</v>
      </c>
      <c r="L524" s="606"/>
      <c r="M524" s="606">
        <v>1139.8</v>
      </c>
      <c r="N524" s="606"/>
      <c r="O524" s="606"/>
      <c r="P524" s="606"/>
      <c r="Q524" s="606"/>
      <c r="R524" s="606"/>
      <c r="S524" s="606"/>
      <c r="T524" s="606"/>
      <c r="U524" s="606"/>
      <c r="V524" s="388"/>
      <c r="W524" s="480">
        <f>H524+I524+J524+K524+L524+M524+N524+O524+P524+Q524+R524+S524+T524+U524+V524</f>
        <v>9260.88</v>
      </c>
    </row>
    <row r="525" spans="1:23" ht="30.75" customHeight="1">
      <c r="A525" s="268">
        <v>12</v>
      </c>
      <c r="B525" s="267" t="s">
        <v>354</v>
      </c>
      <c r="C525" s="221">
        <v>3340</v>
      </c>
      <c r="D525" s="267"/>
      <c r="E525" s="391">
        <v>1</v>
      </c>
      <c r="F525" s="480">
        <v>6133</v>
      </c>
      <c r="G525" s="286">
        <v>12</v>
      </c>
      <c r="H525" s="504">
        <f t="shared" si="59"/>
        <v>6133</v>
      </c>
      <c r="I525" s="504">
        <f t="shared" si="57"/>
        <v>613.3000000000001</v>
      </c>
      <c r="J525" s="480">
        <f>(H525+I525+M525+N525)*30%</f>
        <v>2483.865</v>
      </c>
      <c r="K525" s="480">
        <v>1241.93</v>
      </c>
      <c r="L525" s="606"/>
      <c r="M525" s="481">
        <f>H525*25%</f>
        <v>1533.25</v>
      </c>
      <c r="N525" s="606"/>
      <c r="O525" s="606"/>
      <c r="P525" s="606"/>
      <c r="Q525" s="606"/>
      <c r="R525" s="606"/>
      <c r="S525" s="606"/>
      <c r="T525" s="606"/>
      <c r="U525" s="606"/>
      <c r="V525" s="388"/>
      <c r="W525" s="480">
        <f>H525+I525+J525+K525+L525+M525+N525+O525+P525+Q525+R525+S525+T525+U525+V525</f>
        <v>12005.345000000001</v>
      </c>
    </row>
    <row r="526" spans="1:23" ht="35.25" customHeight="1">
      <c r="A526" s="268">
        <v>13</v>
      </c>
      <c r="B526" s="267" t="s">
        <v>354</v>
      </c>
      <c r="C526" s="221">
        <v>3340</v>
      </c>
      <c r="D526" s="267"/>
      <c r="E526" s="391">
        <v>1</v>
      </c>
      <c r="F526" s="480">
        <v>7001</v>
      </c>
      <c r="G526" s="286">
        <v>14</v>
      </c>
      <c r="H526" s="504">
        <f>F526*E526</f>
        <v>7001</v>
      </c>
      <c r="I526" s="504">
        <f>H526*10%</f>
        <v>700.1</v>
      </c>
      <c r="J526" s="480">
        <f>(H526+I526+M526)*30%</f>
        <v>2835.405</v>
      </c>
      <c r="K526" s="480">
        <v>1417.7</v>
      </c>
      <c r="L526" s="606"/>
      <c r="M526" s="481">
        <f>H526*25%</f>
        <v>1750.25</v>
      </c>
      <c r="N526" s="606"/>
      <c r="O526" s="606"/>
      <c r="P526" s="606"/>
      <c r="Q526" s="606"/>
      <c r="R526" s="606"/>
      <c r="S526" s="606"/>
      <c r="T526" s="606"/>
      <c r="U526" s="606"/>
      <c r="V526" s="388"/>
      <c r="W526" s="480">
        <f>H526+I526+J526+K526+L526+M526+N526+O526+P526+Q526+R526+S526+T526+U526+V526</f>
        <v>13704.455000000002</v>
      </c>
    </row>
    <row r="527" spans="1:23" ht="30" customHeight="1">
      <c r="A527" s="268">
        <v>14</v>
      </c>
      <c r="B527" s="267" t="s">
        <v>354</v>
      </c>
      <c r="C527" s="221">
        <v>3340</v>
      </c>
      <c r="D527" s="267"/>
      <c r="E527" s="391">
        <v>1</v>
      </c>
      <c r="F527" s="480">
        <v>6567</v>
      </c>
      <c r="G527" s="286">
        <v>13</v>
      </c>
      <c r="H527" s="504">
        <f t="shared" si="59"/>
        <v>6567</v>
      </c>
      <c r="I527" s="504">
        <f t="shared" si="57"/>
        <v>656.7</v>
      </c>
      <c r="J527" s="480">
        <f>(H527+I527+M527)*30%</f>
        <v>2659.635</v>
      </c>
      <c r="K527" s="480">
        <v>1329.82</v>
      </c>
      <c r="L527" s="606"/>
      <c r="M527" s="481">
        <f>H527*25%</f>
        <v>1641.75</v>
      </c>
      <c r="N527" s="606"/>
      <c r="O527" s="606"/>
      <c r="P527" s="606"/>
      <c r="Q527" s="606"/>
      <c r="R527" s="606"/>
      <c r="S527" s="606"/>
      <c r="T527" s="606"/>
      <c r="U527" s="606"/>
      <c r="V527" s="388"/>
      <c r="W527" s="237">
        <f t="shared" si="58"/>
        <v>12854.904999999999</v>
      </c>
    </row>
    <row r="528" spans="1:23" ht="30" customHeight="1">
      <c r="A528" s="268">
        <v>15</v>
      </c>
      <c r="B528" s="267" t="s">
        <v>354</v>
      </c>
      <c r="C528" s="221">
        <v>3340</v>
      </c>
      <c r="D528" s="267"/>
      <c r="E528" s="369">
        <v>1</v>
      </c>
      <c r="F528" s="237">
        <v>5699</v>
      </c>
      <c r="G528" s="328">
        <v>11</v>
      </c>
      <c r="H528" s="504">
        <f t="shared" si="59"/>
        <v>5699</v>
      </c>
      <c r="I528" s="504">
        <f t="shared" si="57"/>
        <v>569.9</v>
      </c>
      <c r="J528" s="480">
        <v>769.37</v>
      </c>
      <c r="K528" s="480">
        <v>1154.05</v>
      </c>
      <c r="L528" s="248"/>
      <c r="M528" s="481">
        <f>H528*25%</f>
        <v>1424.75</v>
      </c>
      <c r="N528" s="248"/>
      <c r="O528" s="248"/>
      <c r="P528" s="248"/>
      <c r="Q528" s="248"/>
      <c r="R528" s="248"/>
      <c r="S528" s="248"/>
      <c r="T528" s="330"/>
      <c r="U528" s="297"/>
      <c r="V528" s="388"/>
      <c r="W528" s="237">
        <f t="shared" si="58"/>
        <v>9617.07</v>
      </c>
    </row>
    <row r="529" spans="1:23" ht="21" customHeight="1">
      <c r="A529" s="268">
        <v>16</v>
      </c>
      <c r="B529" s="267" t="s">
        <v>207</v>
      </c>
      <c r="C529" s="221">
        <v>3340</v>
      </c>
      <c r="D529" s="267"/>
      <c r="E529" s="369">
        <v>1.5</v>
      </c>
      <c r="F529" s="237">
        <v>5699</v>
      </c>
      <c r="G529" s="286">
        <v>11</v>
      </c>
      <c r="H529" s="504">
        <f t="shared" si="59"/>
        <v>8548.5</v>
      </c>
      <c r="I529" s="504">
        <f t="shared" si="57"/>
        <v>854.85</v>
      </c>
      <c r="J529" s="481">
        <f>(H529+I529+M529)*10%</f>
        <v>940.335</v>
      </c>
      <c r="K529" s="480">
        <v>1410.5</v>
      </c>
      <c r="L529" s="248"/>
      <c r="M529" s="248"/>
      <c r="N529" s="248"/>
      <c r="O529" s="297"/>
      <c r="P529" s="297"/>
      <c r="Q529" s="297"/>
      <c r="R529" s="297"/>
      <c r="S529" s="297"/>
      <c r="T529" s="297"/>
      <c r="U529" s="297"/>
      <c r="V529" s="388"/>
      <c r="W529" s="237">
        <f>H529+I529+J529+K529+L529+M529+N529+O529+P529+Q529+R529+S529+T529+U529+V529</f>
        <v>11754.185000000001</v>
      </c>
    </row>
    <row r="530" spans="1:23" ht="21.75" customHeight="1" thickBot="1">
      <c r="A530" s="268">
        <v>17</v>
      </c>
      <c r="B530" s="269" t="s">
        <v>208</v>
      </c>
      <c r="C530" s="270">
        <v>2320</v>
      </c>
      <c r="D530" s="269"/>
      <c r="E530" s="297">
        <v>44.58</v>
      </c>
      <c r="F530" s="443"/>
      <c r="G530" s="561"/>
      <c r="H530" s="607">
        <v>345600.68</v>
      </c>
      <c r="I530" s="607">
        <v>34560.07</v>
      </c>
      <c r="J530" s="443">
        <v>102414.54</v>
      </c>
      <c r="K530" s="443">
        <v>61618.43</v>
      </c>
      <c r="L530" s="297"/>
      <c r="M530" s="297"/>
      <c r="N530" s="297"/>
      <c r="O530" s="297">
        <v>27368.1</v>
      </c>
      <c r="P530" s="297">
        <v>40965.24</v>
      </c>
      <c r="Q530" s="297">
        <v>770.11</v>
      </c>
      <c r="R530" s="297"/>
      <c r="S530" s="297"/>
      <c r="T530" s="297"/>
      <c r="U530" s="297"/>
      <c r="V530" s="608"/>
      <c r="W530" s="443">
        <f>H530+I530+J530+K530+L530+M530+N530+O530+P530+Q530+R530+S530+T530+U530+V530</f>
        <v>613297.1699999999</v>
      </c>
    </row>
    <row r="531" spans="1:23" ht="21" customHeight="1" thickBot="1">
      <c r="A531" s="279"/>
      <c r="B531" s="609" t="s">
        <v>265</v>
      </c>
      <c r="C531" s="610"/>
      <c r="D531" s="611"/>
      <c r="E531" s="449">
        <f>E513+E515+E517+E518+E519+E520+E521+E522+E523+E524+E525+E526+E527+E528+E529+E530</f>
        <v>70.08</v>
      </c>
      <c r="F531" s="449"/>
      <c r="G531" s="449"/>
      <c r="H531" s="449">
        <f>SUM(H513:H529)+H530</f>
        <v>504364.13</v>
      </c>
      <c r="I531" s="449">
        <f>SUM(I513:I529)+I530</f>
        <v>50262.845</v>
      </c>
      <c r="J531" s="449">
        <f>SUM(J513:J529)+J530</f>
        <v>141440.27</v>
      </c>
      <c r="K531" s="449">
        <f>K513+K515+K517+K518+K519+K520+K521+K522+K523+K524+K525+K526+K527+K528+K529+K530</f>
        <v>92624.43000000001</v>
      </c>
      <c r="L531" s="449">
        <f aca="true" t="shared" si="60" ref="L531:V531">L513+L515+L517+L518+L519+L520+L521+L522+L523+L524+L525+L526+L527+L528+L529+L530</f>
        <v>0</v>
      </c>
      <c r="M531" s="449">
        <f>M513+M515+M517+M518+M519+M520+M521+M522+M523+M524+M525+M526+M527+M528+M529+M530</f>
        <v>23345.785</v>
      </c>
      <c r="N531" s="449">
        <f t="shared" si="60"/>
        <v>700.1</v>
      </c>
      <c r="O531" s="449">
        <f t="shared" si="60"/>
        <v>27368.1</v>
      </c>
      <c r="P531" s="449">
        <f t="shared" si="60"/>
        <v>40965.24</v>
      </c>
      <c r="Q531" s="612">
        <f t="shared" si="60"/>
        <v>770.11</v>
      </c>
      <c r="R531" s="449">
        <f t="shared" si="60"/>
        <v>0</v>
      </c>
      <c r="S531" s="449">
        <f t="shared" si="60"/>
        <v>0</v>
      </c>
      <c r="T531" s="449">
        <f t="shared" si="60"/>
        <v>0</v>
      </c>
      <c r="U531" s="449">
        <f t="shared" si="60"/>
        <v>0</v>
      </c>
      <c r="V531" s="449">
        <f t="shared" si="60"/>
        <v>0</v>
      </c>
      <c r="W531" s="449">
        <f>W513+W515+W517+W518+W519+W520+W521+W522+W523+W524+W525+W526+W527+W528+W529+W530</f>
        <v>881841.01</v>
      </c>
    </row>
    <row r="532" spans="1:23" ht="21" customHeight="1">
      <c r="A532" s="228">
        <v>18</v>
      </c>
      <c r="B532" s="326" t="s">
        <v>210</v>
      </c>
      <c r="C532" s="327" t="s">
        <v>211</v>
      </c>
      <c r="D532" s="326"/>
      <c r="E532" s="358">
        <v>1</v>
      </c>
      <c r="F532" s="387">
        <v>6133</v>
      </c>
      <c r="G532" s="286">
        <v>12</v>
      </c>
      <c r="H532" s="504">
        <f>F532*E532</f>
        <v>6133</v>
      </c>
      <c r="I532" s="504"/>
      <c r="J532" s="237">
        <f>(F532)*30%</f>
        <v>1839.8999999999999</v>
      </c>
      <c r="K532" s="237"/>
      <c r="L532" s="237">
        <f>F532*15%</f>
        <v>919.9499999999999</v>
      </c>
      <c r="M532" s="237"/>
      <c r="N532" s="504"/>
      <c r="O532" s="504"/>
      <c r="P532" s="504"/>
      <c r="Q532" s="504"/>
      <c r="R532" s="504"/>
      <c r="S532" s="504"/>
      <c r="T532" s="504"/>
      <c r="U532" s="504"/>
      <c r="V532" s="388"/>
      <c r="W532" s="237">
        <f t="shared" si="58"/>
        <v>8892.85</v>
      </c>
    </row>
    <row r="533" spans="1:23" ht="19.5" customHeight="1">
      <c r="A533" s="530">
        <v>19</v>
      </c>
      <c r="B533" s="425" t="s">
        <v>212</v>
      </c>
      <c r="C533" s="613">
        <v>3231</v>
      </c>
      <c r="D533" s="425"/>
      <c r="E533" s="537">
        <v>1</v>
      </c>
      <c r="F533" s="387">
        <v>4195</v>
      </c>
      <c r="G533" s="328">
        <v>6</v>
      </c>
      <c r="H533" s="504">
        <f t="shared" si="56"/>
        <v>4195</v>
      </c>
      <c r="I533" s="504"/>
      <c r="J533" s="237">
        <f>F533*20%</f>
        <v>839</v>
      </c>
      <c r="K533" s="443"/>
      <c r="L533" s="443"/>
      <c r="M533" s="443"/>
      <c r="N533" s="443"/>
      <c r="O533" s="443"/>
      <c r="P533" s="443"/>
      <c r="Q533" s="443"/>
      <c r="R533" s="443"/>
      <c r="S533" s="443"/>
      <c r="T533" s="443"/>
      <c r="U533" s="443"/>
      <c r="V533" s="388">
        <f>6700*E533-H533-I533-J533-K533-L533-M533-N533-O533-P533-Q533-U533</f>
        <v>1666</v>
      </c>
      <c r="W533" s="237">
        <f t="shared" si="58"/>
        <v>6700</v>
      </c>
    </row>
    <row r="534" spans="1:23" ht="21" customHeight="1">
      <c r="A534" s="453">
        <v>20</v>
      </c>
      <c r="B534" s="267" t="s">
        <v>122</v>
      </c>
      <c r="C534" s="221">
        <v>1239</v>
      </c>
      <c r="D534" s="267"/>
      <c r="E534" s="369">
        <v>1</v>
      </c>
      <c r="F534" s="389">
        <v>4745</v>
      </c>
      <c r="G534" s="329">
        <v>8</v>
      </c>
      <c r="H534" s="504">
        <f t="shared" si="56"/>
        <v>4745</v>
      </c>
      <c r="I534" s="504"/>
      <c r="J534" s="248"/>
      <c r="K534" s="248"/>
      <c r="L534" s="248"/>
      <c r="M534" s="248"/>
      <c r="N534" s="248"/>
      <c r="O534" s="248"/>
      <c r="P534" s="248"/>
      <c r="Q534" s="248"/>
      <c r="R534" s="248"/>
      <c r="S534" s="248"/>
      <c r="T534" s="248"/>
      <c r="U534" s="248">
        <f>H534*50%</f>
        <v>2372.5</v>
      </c>
      <c r="V534" s="388"/>
      <c r="W534" s="237">
        <f t="shared" si="58"/>
        <v>7117.5</v>
      </c>
    </row>
    <row r="535" spans="1:23" ht="21.75" customHeight="1">
      <c r="A535" s="240">
        <v>21</v>
      </c>
      <c r="B535" s="267" t="s">
        <v>216</v>
      </c>
      <c r="C535" s="221">
        <v>4115</v>
      </c>
      <c r="D535" s="267"/>
      <c r="E535" s="369">
        <v>1</v>
      </c>
      <c r="F535" s="387">
        <v>3934</v>
      </c>
      <c r="G535" s="328">
        <v>5</v>
      </c>
      <c r="H535" s="504">
        <f t="shared" si="56"/>
        <v>3934</v>
      </c>
      <c r="I535" s="504"/>
      <c r="J535" s="248"/>
      <c r="K535" s="248"/>
      <c r="L535" s="248"/>
      <c r="M535" s="248"/>
      <c r="N535" s="248"/>
      <c r="O535" s="248"/>
      <c r="P535" s="248"/>
      <c r="Q535" s="248"/>
      <c r="R535" s="248"/>
      <c r="S535" s="248"/>
      <c r="T535" s="248"/>
      <c r="U535" s="248"/>
      <c r="V535" s="388">
        <f aca="true" t="shared" si="61" ref="V535:V544">6700*E535-H535-I535-J535-K535-L535-M535-N535-O535-P535-Q535-U535</f>
        <v>2766</v>
      </c>
      <c r="W535" s="237">
        <f t="shared" si="58"/>
        <v>6700</v>
      </c>
    </row>
    <row r="536" spans="1:23" ht="21.75" customHeight="1" hidden="1">
      <c r="A536" s="240">
        <v>14</v>
      </c>
      <c r="B536" s="267" t="s">
        <v>217</v>
      </c>
      <c r="C536" s="221"/>
      <c r="D536" s="267"/>
      <c r="E536" s="248"/>
      <c r="F536" s="387"/>
      <c r="G536" s="328">
        <v>4</v>
      </c>
      <c r="H536" s="504">
        <f t="shared" si="56"/>
        <v>0</v>
      </c>
      <c r="I536" s="504"/>
      <c r="J536" s="614"/>
      <c r="K536" s="248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388">
        <f t="shared" si="61"/>
        <v>0</v>
      </c>
      <c r="W536" s="237">
        <f t="shared" si="58"/>
        <v>0</v>
      </c>
    </row>
    <row r="537" spans="1:23" ht="46.5" customHeight="1">
      <c r="A537" s="240">
        <v>22</v>
      </c>
      <c r="B537" s="267" t="s">
        <v>218</v>
      </c>
      <c r="C537" s="221">
        <v>7129</v>
      </c>
      <c r="D537" s="267"/>
      <c r="E537" s="369">
        <v>1</v>
      </c>
      <c r="F537" s="387">
        <v>3474</v>
      </c>
      <c r="G537" s="328">
        <v>4</v>
      </c>
      <c r="H537" s="504">
        <f t="shared" si="56"/>
        <v>3474</v>
      </c>
      <c r="I537" s="504"/>
      <c r="J537" s="248"/>
      <c r="K537" s="248"/>
      <c r="L537" s="248"/>
      <c r="M537" s="248"/>
      <c r="N537" s="248"/>
      <c r="O537" s="248"/>
      <c r="P537" s="248"/>
      <c r="Q537" s="248"/>
      <c r="R537" s="248"/>
      <c r="S537" s="248"/>
      <c r="T537" s="248"/>
      <c r="U537" s="248"/>
      <c r="V537" s="388">
        <f t="shared" si="61"/>
        <v>3226</v>
      </c>
      <c r="W537" s="237">
        <f t="shared" si="58"/>
        <v>6700</v>
      </c>
    </row>
    <row r="538" spans="1:23" ht="15" customHeight="1">
      <c r="A538" s="240">
        <v>23</v>
      </c>
      <c r="B538" s="267" t="s">
        <v>9</v>
      </c>
      <c r="C538" s="221">
        <v>9162</v>
      </c>
      <c r="D538" s="267"/>
      <c r="E538" s="369">
        <v>1</v>
      </c>
      <c r="F538" s="387">
        <v>2893</v>
      </c>
      <c r="G538" s="328">
        <v>1</v>
      </c>
      <c r="H538" s="504">
        <f t="shared" si="56"/>
        <v>2893</v>
      </c>
      <c r="I538" s="504"/>
      <c r="J538" s="248"/>
      <c r="K538" s="248"/>
      <c r="L538" s="248"/>
      <c r="M538" s="248"/>
      <c r="N538" s="248"/>
      <c r="O538" s="248"/>
      <c r="P538" s="248"/>
      <c r="Q538" s="248"/>
      <c r="R538" s="248"/>
      <c r="S538" s="248"/>
      <c r="T538" s="248"/>
      <c r="U538" s="248"/>
      <c r="V538" s="388">
        <f t="shared" si="61"/>
        <v>3807</v>
      </c>
      <c r="W538" s="237">
        <f t="shared" si="58"/>
        <v>6700</v>
      </c>
    </row>
    <row r="539" spans="1:23" ht="18" customHeight="1">
      <c r="A539" s="240">
        <v>24</v>
      </c>
      <c r="B539" s="267" t="s">
        <v>10</v>
      </c>
      <c r="C539" s="221">
        <v>9152</v>
      </c>
      <c r="D539" s="267"/>
      <c r="E539" s="248">
        <v>2.75</v>
      </c>
      <c r="F539" s="387">
        <v>3153</v>
      </c>
      <c r="G539" s="328">
        <v>2</v>
      </c>
      <c r="H539" s="504">
        <f t="shared" si="56"/>
        <v>8670.75</v>
      </c>
      <c r="I539" s="504"/>
      <c r="J539" s="248"/>
      <c r="K539" s="248"/>
      <c r="L539" s="248"/>
      <c r="M539" s="248"/>
      <c r="N539" s="248"/>
      <c r="O539" s="248"/>
      <c r="P539" s="248"/>
      <c r="Q539" s="248"/>
      <c r="R539" s="248"/>
      <c r="S539" s="248"/>
      <c r="T539" s="290">
        <f>F539*40%*E539</f>
        <v>3468.3</v>
      </c>
      <c r="U539" s="248"/>
      <c r="V539" s="388">
        <f t="shared" si="61"/>
        <v>9754.25</v>
      </c>
      <c r="W539" s="237">
        <f t="shared" si="58"/>
        <v>21893.3</v>
      </c>
    </row>
    <row r="540" spans="1:23" ht="18" customHeight="1">
      <c r="A540" s="240">
        <v>25</v>
      </c>
      <c r="B540" s="267" t="s">
        <v>87</v>
      </c>
      <c r="C540" s="221">
        <v>9132</v>
      </c>
      <c r="D540" s="267"/>
      <c r="E540" s="248">
        <v>12.25</v>
      </c>
      <c r="F540" s="387">
        <v>3153</v>
      </c>
      <c r="G540" s="328">
        <v>2</v>
      </c>
      <c r="H540" s="504">
        <f t="shared" si="56"/>
        <v>38624.25</v>
      </c>
      <c r="I540" s="504"/>
      <c r="J540" s="248"/>
      <c r="K540" s="248"/>
      <c r="L540" s="248"/>
      <c r="M540" s="248"/>
      <c r="N540" s="248"/>
      <c r="O540" s="248"/>
      <c r="P540" s="248"/>
      <c r="Q540" s="248"/>
      <c r="R540" s="248"/>
      <c r="S540" s="248">
        <f>F540*E540*10%</f>
        <v>3862.425</v>
      </c>
      <c r="T540" s="330"/>
      <c r="U540" s="248"/>
      <c r="V540" s="388">
        <f t="shared" si="61"/>
        <v>43450.75</v>
      </c>
      <c r="W540" s="237">
        <f t="shared" si="58"/>
        <v>85937.425</v>
      </c>
    </row>
    <row r="541" spans="1:23" ht="21" customHeight="1">
      <c r="A541" s="240">
        <v>26</v>
      </c>
      <c r="B541" s="267" t="s">
        <v>68</v>
      </c>
      <c r="C541" s="221">
        <v>3570</v>
      </c>
      <c r="D541" s="267"/>
      <c r="E541" s="369">
        <v>1</v>
      </c>
      <c r="F541" s="387">
        <v>4195</v>
      </c>
      <c r="G541" s="328"/>
      <c r="H541" s="504">
        <f t="shared" si="56"/>
        <v>4195</v>
      </c>
      <c r="I541" s="504"/>
      <c r="J541" s="248"/>
      <c r="K541" s="248"/>
      <c r="L541" s="248"/>
      <c r="M541" s="248"/>
      <c r="N541" s="248"/>
      <c r="O541" s="248"/>
      <c r="P541" s="248"/>
      <c r="Q541" s="248"/>
      <c r="R541" s="248">
        <f>F541*E541*12%</f>
        <v>503.4</v>
      </c>
      <c r="S541" s="248"/>
      <c r="T541" s="330"/>
      <c r="U541" s="290">
        <f>F541*E541*15%</f>
        <v>629.25</v>
      </c>
      <c r="V541" s="388">
        <f t="shared" si="61"/>
        <v>1875.75</v>
      </c>
      <c r="W541" s="237">
        <f t="shared" si="58"/>
        <v>7203.4</v>
      </c>
    </row>
    <row r="542" spans="1:23" ht="16.5" customHeight="1">
      <c r="A542" s="240">
        <v>27</v>
      </c>
      <c r="B542" s="267" t="s">
        <v>8</v>
      </c>
      <c r="C542" s="221">
        <v>5122</v>
      </c>
      <c r="D542" s="267"/>
      <c r="E542" s="369">
        <v>2</v>
      </c>
      <c r="F542" s="387">
        <v>4195</v>
      </c>
      <c r="G542" s="328">
        <v>6</v>
      </c>
      <c r="H542" s="504">
        <f>F542*E542</f>
        <v>8390</v>
      </c>
      <c r="I542" s="504"/>
      <c r="J542" s="248"/>
      <c r="K542" s="248"/>
      <c r="L542" s="248"/>
      <c r="M542" s="248"/>
      <c r="N542" s="248"/>
      <c r="O542" s="248"/>
      <c r="P542" s="248"/>
      <c r="Q542" s="248"/>
      <c r="R542" s="248">
        <f>F542*E542*12%</f>
        <v>1006.8</v>
      </c>
      <c r="S542" s="248"/>
      <c r="T542" s="330"/>
      <c r="U542" s="290">
        <f>F542*E542*15%</f>
        <v>1258.5</v>
      </c>
      <c r="V542" s="388">
        <f t="shared" si="61"/>
        <v>3751.5</v>
      </c>
      <c r="W542" s="237">
        <f t="shared" si="58"/>
        <v>14406.8</v>
      </c>
    </row>
    <row r="543" spans="1:23" ht="20.25" customHeight="1">
      <c r="A543" s="240">
        <v>28</v>
      </c>
      <c r="B543" s="267" t="s">
        <v>128</v>
      </c>
      <c r="C543" s="221">
        <v>9132</v>
      </c>
      <c r="D543" s="267"/>
      <c r="E543" s="369">
        <v>1</v>
      </c>
      <c r="F543" s="387">
        <v>2893</v>
      </c>
      <c r="G543" s="328">
        <v>1</v>
      </c>
      <c r="H543" s="504">
        <f t="shared" si="56"/>
        <v>2893</v>
      </c>
      <c r="I543" s="504"/>
      <c r="J543" s="248"/>
      <c r="K543" s="248"/>
      <c r="L543" s="248"/>
      <c r="M543" s="248"/>
      <c r="N543" s="248"/>
      <c r="O543" s="248"/>
      <c r="P543" s="248"/>
      <c r="Q543" s="248"/>
      <c r="R543" s="248">
        <f>F543*E543*12%</f>
        <v>347.15999999999997</v>
      </c>
      <c r="S543" s="248"/>
      <c r="T543" s="330"/>
      <c r="U543" s="290">
        <f>F543*E543*15%</f>
        <v>433.95</v>
      </c>
      <c r="V543" s="388">
        <f t="shared" si="61"/>
        <v>3373.05</v>
      </c>
      <c r="W543" s="237">
        <f t="shared" si="58"/>
        <v>7047.16</v>
      </c>
    </row>
    <row r="544" spans="1:23" ht="16.5" customHeight="1">
      <c r="A544" s="240">
        <v>29</v>
      </c>
      <c r="B544" s="267" t="s">
        <v>12</v>
      </c>
      <c r="C544" s="221">
        <v>4131</v>
      </c>
      <c r="D544" s="267"/>
      <c r="E544" s="369">
        <v>1</v>
      </c>
      <c r="F544" s="387">
        <v>3153</v>
      </c>
      <c r="G544" s="328">
        <v>2</v>
      </c>
      <c r="H544" s="504">
        <f t="shared" si="56"/>
        <v>3153</v>
      </c>
      <c r="I544" s="504"/>
      <c r="J544" s="248"/>
      <c r="K544" s="248"/>
      <c r="L544" s="248"/>
      <c r="M544" s="248"/>
      <c r="N544" s="248"/>
      <c r="O544" s="248"/>
      <c r="P544" s="248"/>
      <c r="Q544" s="248"/>
      <c r="R544" s="248"/>
      <c r="S544" s="248"/>
      <c r="T544" s="330"/>
      <c r="U544" s="248"/>
      <c r="V544" s="388">
        <f t="shared" si="61"/>
        <v>3547</v>
      </c>
      <c r="W544" s="237">
        <f t="shared" si="58"/>
        <v>6700</v>
      </c>
    </row>
    <row r="545" spans="1:23" ht="30.75" customHeight="1" hidden="1">
      <c r="A545" s="240"/>
      <c r="B545" s="267"/>
      <c r="C545" s="221"/>
      <c r="D545" s="267"/>
      <c r="E545" s="369"/>
      <c r="F545" s="387"/>
      <c r="G545" s="328"/>
      <c r="H545" s="504">
        <f t="shared" si="56"/>
        <v>0</v>
      </c>
      <c r="I545" s="504"/>
      <c r="J545" s="248"/>
      <c r="K545" s="248"/>
      <c r="L545" s="248"/>
      <c r="M545" s="248"/>
      <c r="N545" s="248"/>
      <c r="O545" s="248"/>
      <c r="P545" s="248"/>
      <c r="Q545" s="248"/>
      <c r="R545" s="248"/>
      <c r="S545" s="248"/>
      <c r="T545" s="330">
        <f>F545*40%</f>
        <v>0</v>
      </c>
      <c r="U545" s="248"/>
      <c r="V545" s="388">
        <f>4173*E545-H545-I545-J545-K545-L545-M545-N545-O545-P545-Q545-U545</f>
        <v>0</v>
      </c>
      <c r="W545" s="237">
        <f t="shared" si="58"/>
        <v>0</v>
      </c>
    </row>
    <row r="546" spans="1:23" ht="21" customHeight="1" hidden="1">
      <c r="A546" s="240"/>
      <c r="B546" s="267"/>
      <c r="C546" s="221"/>
      <c r="D546" s="267"/>
      <c r="E546" s="369"/>
      <c r="F546" s="387"/>
      <c r="G546" s="328"/>
      <c r="H546" s="504"/>
      <c r="I546" s="504"/>
      <c r="J546" s="248"/>
      <c r="K546" s="248"/>
      <c r="L546" s="248"/>
      <c r="M546" s="248"/>
      <c r="N546" s="248"/>
      <c r="O546" s="248"/>
      <c r="P546" s="248"/>
      <c r="Q546" s="248"/>
      <c r="R546" s="248"/>
      <c r="S546" s="248"/>
      <c r="T546" s="290"/>
      <c r="U546" s="248"/>
      <c r="V546" s="388"/>
      <c r="W546" s="237"/>
    </row>
    <row r="547" spans="1:23" ht="18" customHeight="1" hidden="1">
      <c r="A547" s="240"/>
      <c r="B547" s="267"/>
      <c r="C547" s="221"/>
      <c r="D547" s="267"/>
      <c r="E547" s="369"/>
      <c r="F547" s="237"/>
      <c r="G547" s="328"/>
      <c r="H547" s="328"/>
      <c r="I547" s="328"/>
      <c r="J547" s="248"/>
      <c r="K547" s="248"/>
      <c r="L547" s="248"/>
      <c r="M547" s="248"/>
      <c r="N547" s="248"/>
      <c r="O547" s="248"/>
      <c r="P547" s="248"/>
      <c r="Q547" s="248"/>
      <c r="R547" s="248"/>
      <c r="S547" s="248"/>
      <c r="T547" s="330"/>
      <c r="U547" s="248"/>
      <c r="V547" s="237">
        <f>F547*E547+J547+K547+L547+M547+R547+S547+T547+U547+N547</f>
        <v>0</v>
      </c>
      <c r="W547" s="388"/>
    </row>
    <row r="548" spans="1:23" ht="23.25" customHeight="1" hidden="1">
      <c r="A548" s="240"/>
      <c r="B548" s="267"/>
      <c r="C548" s="221"/>
      <c r="D548" s="267"/>
      <c r="E548" s="369"/>
      <c r="F548" s="237"/>
      <c r="G548" s="328"/>
      <c r="H548" s="328"/>
      <c r="I548" s="32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330"/>
      <c r="U548" s="248"/>
      <c r="V548" s="237">
        <f>F548*E548+J548+K548+L548+M548+R548+S548+T548+U548+N548</f>
        <v>0</v>
      </c>
      <c r="W548" s="388"/>
    </row>
    <row r="549" spans="1:23" ht="20.25" customHeight="1" hidden="1">
      <c r="A549" s="240"/>
      <c r="B549" s="267"/>
      <c r="C549" s="221"/>
      <c r="D549" s="267"/>
      <c r="E549" s="369"/>
      <c r="F549" s="237"/>
      <c r="G549" s="328"/>
      <c r="H549" s="328"/>
      <c r="I549" s="328"/>
      <c r="J549" s="248"/>
      <c r="K549" s="248"/>
      <c r="L549" s="248"/>
      <c r="M549" s="248"/>
      <c r="N549" s="248"/>
      <c r="O549" s="248"/>
      <c r="P549" s="248"/>
      <c r="Q549" s="248"/>
      <c r="R549" s="248"/>
      <c r="S549" s="248"/>
      <c r="T549" s="330"/>
      <c r="U549" s="248"/>
      <c r="V549" s="237">
        <f>F549*E549+J549+K549+L549+M549+R549+S549+T549+U549+N549</f>
        <v>0</v>
      </c>
      <c r="W549" s="388"/>
    </row>
    <row r="550" spans="1:23" ht="13.5" hidden="1">
      <c r="A550" s="240"/>
      <c r="B550" s="267"/>
      <c r="C550" s="221"/>
      <c r="D550" s="267"/>
      <c r="E550" s="248"/>
      <c r="F550" s="387"/>
      <c r="G550" s="510"/>
      <c r="H550" s="510"/>
      <c r="I550" s="510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330"/>
      <c r="U550" s="248"/>
      <c r="V550" s="237"/>
      <c r="W550" s="237"/>
    </row>
    <row r="551" spans="1:23" ht="12.75" customHeight="1" hidden="1">
      <c r="A551" s="240"/>
      <c r="B551" s="300"/>
      <c r="C551" s="301"/>
      <c r="D551" s="300"/>
      <c r="E551" s="303"/>
      <c r="F551" s="387"/>
      <c r="G551" s="510"/>
      <c r="H551" s="510"/>
      <c r="I551" s="510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330"/>
      <c r="U551" s="248"/>
      <c r="V551" s="237"/>
      <c r="W551" s="237"/>
    </row>
    <row r="552" spans="1:23" ht="17.25" customHeight="1">
      <c r="A552" s="240"/>
      <c r="B552" s="303" t="s">
        <v>6</v>
      </c>
      <c r="C552" s="302"/>
      <c r="D552" s="303"/>
      <c r="E552" s="248">
        <f>E531+E532+E533+E534+E535+E537+E538+E539+E540+E542+E543+E544+E546+E541</f>
        <v>96.08</v>
      </c>
      <c r="F552" s="248"/>
      <c r="G552" s="248"/>
      <c r="H552" s="248">
        <f aca="true" t="shared" si="62" ref="H552:W552">H531+H532+H533+H534+H535+H537+H538+H539+H540+H542+H543+H544+H546+H541</f>
        <v>595664.13</v>
      </c>
      <c r="I552" s="248">
        <f t="shared" si="62"/>
        <v>50262.845</v>
      </c>
      <c r="J552" s="248">
        <f t="shared" si="62"/>
        <v>144119.16999999998</v>
      </c>
      <c r="K552" s="248">
        <f t="shared" si="62"/>
        <v>92624.43000000001</v>
      </c>
      <c r="L552" s="248">
        <f t="shared" si="62"/>
        <v>919.9499999999999</v>
      </c>
      <c r="M552" s="248">
        <f t="shared" si="62"/>
        <v>23345.785</v>
      </c>
      <c r="N552" s="248">
        <f t="shared" si="62"/>
        <v>700.1</v>
      </c>
      <c r="O552" s="248">
        <f t="shared" si="62"/>
        <v>27368.1</v>
      </c>
      <c r="P552" s="248">
        <f t="shared" si="62"/>
        <v>40965.24</v>
      </c>
      <c r="Q552" s="248">
        <f t="shared" si="62"/>
        <v>770.11</v>
      </c>
      <c r="R552" s="248">
        <f t="shared" si="62"/>
        <v>1857.3600000000001</v>
      </c>
      <c r="S552" s="248">
        <f t="shared" si="62"/>
        <v>3862.425</v>
      </c>
      <c r="T552" s="248">
        <f t="shared" si="62"/>
        <v>3468.3</v>
      </c>
      <c r="U552" s="248">
        <f t="shared" si="62"/>
        <v>4694.2</v>
      </c>
      <c r="V552" s="248">
        <f t="shared" si="62"/>
        <v>77217.3</v>
      </c>
      <c r="W552" s="248">
        <f t="shared" si="62"/>
        <v>1067839.445</v>
      </c>
    </row>
    <row r="553" spans="1:23" ht="16.5" customHeight="1">
      <c r="A553" s="197"/>
      <c r="B553" s="204"/>
      <c r="C553" s="217"/>
      <c r="D553" s="204"/>
      <c r="E553" s="204"/>
      <c r="F553" s="204"/>
      <c r="G553" s="218"/>
      <c r="H553" s="218"/>
      <c r="I553" s="218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340"/>
    </row>
    <row r="554" spans="1:23" ht="18" customHeight="1">
      <c r="A554" s="197"/>
      <c r="B554" s="341"/>
      <c r="C554" s="342"/>
      <c r="D554" s="341"/>
      <c r="E554" s="343"/>
      <c r="F554" s="214" t="s">
        <v>169</v>
      </c>
      <c r="G554" s="344"/>
      <c r="H554" s="344"/>
      <c r="I554" s="344"/>
      <c r="J554" s="345"/>
      <c r="K554" s="346"/>
      <c r="L554" s="346"/>
      <c r="M554" s="346"/>
      <c r="N554" s="346"/>
      <c r="O554" s="346"/>
      <c r="P554" s="346"/>
      <c r="Q554" s="346"/>
      <c r="R554" s="346" t="s">
        <v>170</v>
      </c>
      <c r="S554" s="346"/>
      <c r="T554" s="340"/>
      <c r="U554" s="340"/>
      <c r="V554" s="340"/>
      <c r="W554" s="340"/>
    </row>
    <row r="556" spans="1:23" ht="18" customHeight="1">
      <c r="A556" s="197"/>
      <c r="B556" s="341"/>
      <c r="C556" s="342"/>
      <c r="D556" s="341"/>
      <c r="E556" s="343"/>
      <c r="F556" s="214" t="s">
        <v>234</v>
      </c>
      <c r="G556" s="344"/>
      <c r="H556" s="344"/>
      <c r="I556" s="344"/>
      <c r="J556" s="345"/>
      <c r="K556" s="346"/>
      <c r="L556" s="346"/>
      <c r="M556" s="346"/>
      <c r="N556" s="346"/>
      <c r="O556" s="346"/>
      <c r="P556" s="346"/>
      <c r="Q556" s="346"/>
      <c r="R556" s="346" t="s">
        <v>167</v>
      </c>
      <c r="S556" s="346"/>
      <c r="T556" s="340"/>
      <c r="U556" s="340"/>
      <c r="V556" s="340"/>
      <c r="W556" s="340"/>
    </row>
    <row r="557" spans="1:23" ht="20.25" customHeight="1">
      <c r="A557" s="197"/>
      <c r="B557" s="204"/>
      <c r="C557" s="217"/>
      <c r="D557" s="204"/>
      <c r="E557" s="204"/>
      <c r="F557" s="204"/>
      <c r="G557" s="218"/>
      <c r="H557" s="218"/>
      <c r="I557" s="218"/>
      <c r="J557" s="204"/>
      <c r="K557" s="201"/>
      <c r="L557" s="204"/>
      <c r="M557" s="204"/>
      <c r="N557" s="204"/>
      <c r="O557" s="204"/>
      <c r="P557" s="204"/>
      <c r="Q557" s="204"/>
      <c r="R557" s="202" t="s">
        <v>102</v>
      </c>
      <c r="S557" s="457">
        <v>15</v>
      </c>
      <c r="T557" s="615"/>
      <c r="U557" s="352"/>
      <c r="V557" s="202"/>
      <c r="W557" s="202"/>
    </row>
    <row r="558" spans="1:23" ht="36.75" customHeight="1">
      <c r="A558" s="197"/>
      <c r="B558" s="204"/>
      <c r="C558" s="217"/>
      <c r="D558" s="204"/>
      <c r="E558" s="204"/>
      <c r="F558" s="204"/>
      <c r="G558" s="218"/>
      <c r="H558" s="218"/>
      <c r="I558" s="218"/>
      <c r="J558" s="204"/>
      <c r="K558" s="201"/>
      <c r="L558" s="204"/>
      <c r="M558" s="204"/>
      <c r="N558" s="204"/>
      <c r="O558" s="204"/>
      <c r="P558" s="204"/>
      <c r="Q558" s="204"/>
      <c r="R558" s="1097" t="s">
        <v>103</v>
      </c>
      <c r="S558" s="1097"/>
      <c r="T558" s="1097"/>
      <c r="U558" s="1097"/>
      <c r="V558" s="1097"/>
      <c r="W558" s="1097"/>
    </row>
    <row r="559" spans="1:23" ht="20.25" customHeight="1">
      <c r="A559" s="197"/>
      <c r="B559" s="204"/>
      <c r="C559" s="217"/>
      <c r="D559" s="204"/>
      <c r="E559" s="204"/>
      <c r="F559" s="204"/>
      <c r="G559" s="218"/>
      <c r="H559" s="218"/>
      <c r="I559" s="218"/>
      <c r="J559" s="204"/>
      <c r="K559" s="201"/>
      <c r="L559" s="204"/>
      <c r="M559" s="204"/>
      <c r="N559" s="204"/>
      <c r="O559" s="204"/>
      <c r="P559" s="204"/>
      <c r="Q559" s="204"/>
      <c r="R559" s="1098" t="s">
        <v>104</v>
      </c>
      <c r="S559" s="1098"/>
      <c r="T559" s="1098"/>
      <c r="U559" s="206" t="s">
        <v>0</v>
      </c>
      <c r="V559" s="616"/>
      <c r="W559" s="206"/>
    </row>
    <row r="560" spans="1:23" ht="57.75" customHeight="1">
      <c r="A560" s="197"/>
      <c r="B560" s="204"/>
      <c r="C560" s="217"/>
      <c r="D560" s="204"/>
      <c r="E560" s="204"/>
      <c r="F560" s="204"/>
      <c r="G560" s="218"/>
      <c r="H560" s="218"/>
      <c r="I560" s="218"/>
      <c r="J560" s="204"/>
      <c r="K560" s="201"/>
      <c r="L560" s="204"/>
      <c r="M560" s="204"/>
      <c r="N560" s="204"/>
      <c r="O560" s="204"/>
      <c r="P560" s="204"/>
      <c r="Q560" s="204"/>
      <c r="R560" s="930" t="s">
        <v>355</v>
      </c>
      <c r="S560" s="930"/>
      <c r="T560" s="930"/>
      <c r="U560" s="930"/>
      <c r="V560" s="930"/>
      <c r="W560" s="930"/>
    </row>
    <row r="561" spans="1:23" ht="20.25" customHeight="1">
      <c r="A561" s="197"/>
      <c r="B561" s="204"/>
      <c r="C561" s="217"/>
      <c r="D561" s="204"/>
      <c r="E561" s="204"/>
      <c r="F561" s="204"/>
      <c r="G561" s="218"/>
      <c r="H561" s="218"/>
      <c r="I561" s="218"/>
      <c r="J561" s="204"/>
      <c r="K561" s="201"/>
      <c r="L561" s="204"/>
      <c r="M561" s="204"/>
      <c r="N561" s="204"/>
      <c r="O561" s="204"/>
      <c r="P561" s="204"/>
      <c r="Q561" s="204"/>
      <c r="R561" s="528"/>
      <c r="S561" s="528"/>
      <c r="T561" s="528"/>
      <c r="U561" s="529"/>
      <c r="V561" s="529"/>
      <c r="W561" s="210"/>
    </row>
    <row r="562" spans="1:23" ht="20.25" customHeight="1">
      <c r="A562" s="197"/>
      <c r="B562" s="204"/>
      <c r="C562" s="217"/>
      <c r="D562" s="204"/>
      <c r="E562" s="204"/>
      <c r="F562" s="204"/>
      <c r="G562" s="218"/>
      <c r="H562" s="218"/>
      <c r="I562" s="218"/>
      <c r="J562" s="204"/>
      <c r="K562" s="201"/>
      <c r="L562" s="204"/>
      <c r="M562" s="204"/>
      <c r="N562" s="204"/>
      <c r="O562" s="204"/>
      <c r="P562" s="204"/>
      <c r="Q562" s="204"/>
      <c r="R562" s="402"/>
      <c r="S562" s="210"/>
      <c r="T562" s="210"/>
      <c r="U562" s="210"/>
      <c r="V562" s="210"/>
      <c r="W562" s="210"/>
    </row>
    <row r="563" spans="1:23" ht="18" customHeight="1">
      <c r="A563" s="197"/>
      <c r="B563" s="204"/>
      <c r="C563" s="217"/>
      <c r="D563" s="204"/>
      <c r="E563" s="204"/>
      <c r="F563" s="204"/>
      <c r="G563" s="218"/>
      <c r="H563" s="218"/>
      <c r="I563" s="218"/>
      <c r="J563" s="204"/>
      <c r="K563" s="204"/>
      <c r="L563" s="204"/>
      <c r="M563" s="204"/>
      <c r="N563" s="204"/>
      <c r="O563" s="204"/>
      <c r="P563" s="204"/>
      <c r="Q563" s="204"/>
      <c r="R563" s="204"/>
      <c r="W563" s="349"/>
    </row>
    <row r="564" spans="1:23" ht="15" customHeight="1">
      <c r="A564" s="197"/>
      <c r="B564" s="204"/>
      <c r="C564" s="217"/>
      <c r="D564" s="204"/>
      <c r="E564" s="204"/>
      <c r="F564" s="204"/>
      <c r="G564" s="218"/>
      <c r="H564" s="218"/>
      <c r="I564" s="218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350"/>
    </row>
    <row r="565" spans="1:23" ht="17.25" customHeight="1">
      <c r="A565" s="1073" t="s">
        <v>176</v>
      </c>
      <c r="B565" s="1073"/>
      <c r="C565" s="1073"/>
      <c r="D565" s="1073"/>
      <c r="E565" s="1073"/>
      <c r="F565" s="1073"/>
      <c r="G565" s="1073"/>
      <c r="H565" s="1073"/>
      <c r="I565" s="1073"/>
      <c r="J565" s="1073"/>
      <c r="K565" s="1073"/>
      <c r="L565" s="1073"/>
      <c r="M565" s="1073"/>
      <c r="N565" s="1073"/>
      <c r="O565" s="1073"/>
      <c r="P565" s="1073"/>
      <c r="Q565" s="1073"/>
      <c r="R565" s="204"/>
      <c r="S565" s="204"/>
      <c r="T565" s="204"/>
      <c r="U565" s="204"/>
      <c r="V565" s="204"/>
      <c r="W565" s="204"/>
    </row>
    <row r="566" spans="1:23" ht="36.75" customHeight="1">
      <c r="A566" s="1031" t="s">
        <v>356</v>
      </c>
      <c r="B566" s="1031"/>
      <c r="C566" s="1031"/>
      <c r="D566" s="1031"/>
      <c r="E566" s="1031"/>
      <c r="F566" s="1031"/>
      <c r="G566" s="1031"/>
      <c r="H566" s="1031"/>
      <c r="I566" s="1031"/>
      <c r="J566" s="1031"/>
      <c r="K566" s="1031"/>
      <c r="L566" s="1031"/>
      <c r="M566" s="1031"/>
      <c r="N566" s="1031"/>
      <c r="O566" s="1031"/>
      <c r="P566" s="1031"/>
      <c r="Q566" s="1031"/>
      <c r="R566" s="460"/>
      <c r="S566" s="204"/>
      <c r="T566" s="204"/>
      <c r="U566" s="204"/>
      <c r="V566" s="204"/>
      <c r="W566" s="204"/>
    </row>
    <row r="567" spans="1:23" ht="15" customHeight="1" hidden="1">
      <c r="A567" s="197"/>
      <c r="B567" s="204"/>
      <c r="C567" s="217"/>
      <c r="D567" s="204"/>
      <c r="E567" s="204"/>
      <c r="F567" s="204"/>
      <c r="G567" s="218"/>
      <c r="H567" s="218"/>
      <c r="I567" s="218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</row>
    <row r="568" spans="1:23" ht="15" customHeight="1">
      <c r="A568" s="197"/>
      <c r="B568" s="352" t="s">
        <v>357</v>
      </c>
      <c r="C568" s="351"/>
      <c r="D568" s="352"/>
      <c r="E568" s="352"/>
      <c r="F568" s="352" t="s">
        <v>179</v>
      </c>
      <c r="G568" s="565"/>
      <c r="H568" s="565"/>
      <c r="I568" s="617" t="s">
        <v>358</v>
      </c>
      <c r="J568" s="617"/>
      <c r="K568" s="352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</row>
    <row r="569" spans="1:23" ht="8.25" customHeight="1">
      <c r="A569" s="197"/>
      <c r="B569" s="204"/>
      <c r="C569" s="217"/>
      <c r="D569" s="204"/>
      <c r="E569" s="204"/>
      <c r="F569" s="204"/>
      <c r="G569" s="218"/>
      <c r="H569" s="218"/>
      <c r="I569" s="218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</row>
    <row r="570" spans="1:23" ht="12.75" customHeight="1">
      <c r="A570" s="935" t="s">
        <v>0</v>
      </c>
      <c r="B570" s="353" t="s">
        <v>1</v>
      </c>
      <c r="C570" s="937" t="s">
        <v>117</v>
      </c>
      <c r="D570" s="937" t="s">
        <v>184</v>
      </c>
      <c r="E570" s="354" t="s">
        <v>2</v>
      </c>
      <c r="F570" s="940" t="s">
        <v>34</v>
      </c>
      <c r="G570" s="940" t="s">
        <v>35</v>
      </c>
      <c r="H570" s="1075" t="s">
        <v>58</v>
      </c>
      <c r="I570" s="1012" t="s">
        <v>39</v>
      </c>
      <c r="J570" s="1016" t="s">
        <v>33</v>
      </c>
      <c r="K570" s="1016"/>
      <c r="L570" s="1016"/>
      <c r="M570" s="1016"/>
      <c r="N570" s="423"/>
      <c r="O570" s="1016" t="s">
        <v>5</v>
      </c>
      <c r="P570" s="1016"/>
      <c r="Q570" s="1016"/>
      <c r="R570" s="1016"/>
      <c r="S570" s="1016"/>
      <c r="T570" s="1016"/>
      <c r="U570" s="1017"/>
      <c r="V570" s="948" t="s">
        <v>100</v>
      </c>
      <c r="W570" s="951" t="s">
        <v>239</v>
      </c>
    </row>
    <row r="571" spans="1:23" ht="12.75" customHeight="1">
      <c r="A571" s="936"/>
      <c r="B571" s="355" t="s">
        <v>186</v>
      </c>
      <c r="C571" s="938"/>
      <c r="D571" s="938"/>
      <c r="E571" s="355" t="s">
        <v>3</v>
      </c>
      <c r="F571" s="940"/>
      <c r="G571" s="940"/>
      <c r="H571" s="1076"/>
      <c r="I571" s="1013"/>
      <c r="J571" s="1025" t="s">
        <v>187</v>
      </c>
      <c r="K571" s="956" t="s">
        <v>327</v>
      </c>
      <c r="L571" s="1068" t="s">
        <v>328</v>
      </c>
      <c r="M571" s="1078" t="s">
        <v>329</v>
      </c>
      <c r="N571" s="578"/>
      <c r="O571" s="962" t="s">
        <v>192</v>
      </c>
      <c r="P571" s="962" t="s">
        <v>193</v>
      </c>
      <c r="Q571" s="963" t="s">
        <v>359</v>
      </c>
      <c r="R571" s="1027" t="s">
        <v>244</v>
      </c>
      <c r="S571" s="957" t="s">
        <v>20</v>
      </c>
      <c r="T571" s="1079" t="s">
        <v>51</v>
      </c>
      <c r="U571" s="1067" t="s">
        <v>261</v>
      </c>
      <c r="V571" s="949"/>
      <c r="W571" s="952"/>
    </row>
    <row r="572" spans="1:23" ht="13.5">
      <c r="A572" s="936"/>
      <c r="B572" s="355"/>
      <c r="C572" s="938"/>
      <c r="D572" s="938"/>
      <c r="E572" s="355" t="s">
        <v>4</v>
      </c>
      <c r="F572" s="940"/>
      <c r="G572" s="940"/>
      <c r="H572" s="1076"/>
      <c r="I572" s="1013"/>
      <c r="J572" s="1025"/>
      <c r="K572" s="957"/>
      <c r="L572" s="1068"/>
      <c r="M572" s="1068"/>
      <c r="N572" s="531"/>
      <c r="O572" s="962"/>
      <c r="P572" s="962"/>
      <c r="Q572" s="964"/>
      <c r="R572" s="966"/>
      <c r="S572" s="957"/>
      <c r="T572" s="1080"/>
      <c r="U572" s="1068"/>
      <c r="V572" s="949"/>
      <c r="W572" s="952"/>
    </row>
    <row r="573" spans="1:23" ht="13.5">
      <c r="A573" s="224"/>
      <c r="B573" s="355"/>
      <c r="C573" s="938"/>
      <c r="D573" s="938"/>
      <c r="E573" s="355"/>
      <c r="F573" s="940"/>
      <c r="G573" s="940"/>
      <c r="H573" s="1076"/>
      <c r="I573" s="1013"/>
      <c r="J573" s="1025"/>
      <c r="K573" s="957"/>
      <c r="L573" s="1068"/>
      <c r="M573" s="1068"/>
      <c r="N573" s="531"/>
      <c r="O573" s="962"/>
      <c r="P573" s="962"/>
      <c r="Q573" s="964"/>
      <c r="R573" s="966"/>
      <c r="S573" s="957"/>
      <c r="T573" s="1080"/>
      <c r="U573" s="1068"/>
      <c r="V573" s="949"/>
      <c r="W573" s="952"/>
    </row>
    <row r="574" spans="1:23" ht="105.75" customHeight="1">
      <c r="A574" s="225"/>
      <c r="B574" s="357"/>
      <c r="C574" s="939"/>
      <c r="D574" s="939"/>
      <c r="E574" s="426"/>
      <c r="F574" s="940"/>
      <c r="G574" s="940"/>
      <c r="H574" s="1077"/>
      <c r="I574" s="1014"/>
      <c r="J574" s="1026"/>
      <c r="K574" s="958"/>
      <c r="L574" s="1069"/>
      <c r="M574" s="1069"/>
      <c r="N574" s="534" t="s">
        <v>191</v>
      </c>
      <c r="O574" s="962"/>
      <c r="P574" s="962"/>
      <c r="Q574" s="965"/>
      <c r="R574" s="967"/>
      <c r="S574" s="958"/>
      <c r="T574" s="1081"/>
      <c r="U574" s="1069"/>
      <c r="V574" s="950"/>
      <c r="W574" s="953"/>
    </row>
    <row r="575" spans="1:23" ht="18" customHeight="1">
      <c r="A575" s="228">
        <v>1</v>
      </c>
      <c r="B575" s="506" t="s">
        <v>262</v>
      </c>
      <c r="C575" s="536" t="s">
        <v>118</v>
      </c>
      <c r="D575" s="535"/>
      <c r="E575" s="537">
        <v>1</v>
      </c>
      <c r="F575" s="443">
        <v>8071</v>
      </c>
      <c r="G575" s="359">
        <v>16</v>
      </c>
      <c r="H575" s="382">
        <f>F575*E575</f>
        <v>8071</v>
      </c>
      <c r="I575" s="382">
        <f>H575*10%</f>
        <v>807.1</v>
      </c>
      <c r="J575" s="502">
        <f>(H575+I575+M575+N575+L575)*30%</f>
        <v>2663.43</v>
      </c>
      <c r="K575" s="502">
        <f>(H575+I575+L575+N575)*20%</f>
        <v>1775.6200000000001</v>
      </c>
      <c r="L575" s="499"/>
      <c r="M575" s="489"/>
      <c r="N575" s="499"/>
      <c r="O575" s="499"/>
      <c r="P575" s="499"/>
      <c r="Q575" s="499"/>
      <c r="R575" s="443"/>
      <c r="S575" s="443"/>
      <c r="T575" s="443"/>
      <c r="U575" s="248"/>
      <c r="V575" s="579"/>
      <c r="W575" s="297">
        <f>H575+I575+J575+K575+L575+M575+N575+O575+P575+Q575+R575+S575+T575+U575+V575</f>
        <v>13317.150000000001</v>
      </c>
    </row>
    <row r="576" spans="1:23" ht="13.5" hidden="1">
      <c r="A576" s="240">
        <v>2</v>
      </c>
      <c r="B576" s="547"/>
      <c r="C576" s="548"/>
      <c r="D576" s="547"/>
      <c r="E576" s="248"/>
      <c r="F576" s="315"/>
      <c r="G576" s="582"/>
      <c r="H576" s="436">
        <f>F576*E576</f>
        <v>0</v>
      </c>
      <c r="I576" s="436">
        <f>H576*10%</f>
        <v>0</v>
      </c>
      <c r="J576" s="438">
        <f>(H576+I576+M576+N576+L576)*30%</f>
        <v>0</v>
      </c>
      <c r="K576" s="438">
        <f>(H576+I576+N576+L576+M576)*20%</f>
        <v>0</v>
      </c>
      <c r="L576" s="438"/>
      <c r="M576" s="439"/>
      <c r="N576" s="439"/>
      <c r="O576" s="439"/>
      <c r="P576" s="439"/>
      <c r="Q576" s="439"/>
      <c r="R576" s="439"/>
      <c r="S576" s="439"/>
      <c r="T576" s="439"/>
      <c r="U576" s="439"/>
      <c r="V576" s="438"/>
      <c r="W576" s="315">
        <f>H576+I576+J576+K576+L576+M576+N576+O576+P576+Q576+R576+S576+T576+U576+V576</f>
        <v>0</v>
      </c>
    </row>
    <row r="577" spans="1:23" ht="1.5" customHeight="1">
      <c r="A577" s="240">
        <v>2</v>
      </c>
      <c r="B577" s="300"/>
      <c r="C577" s="301"/>
      <c r="D577" s="300"/>
      <c r="E577" s="369"/>
      <c r="F577" s="389"/>
      <c r="G577" s="1082" t="s">
        <v>314</v>
      </c>
      <c r="H577" s="360"/>
      <c r="I577" s="360"/>
      <c r="J577" s="489"/>
      <c r="K577" s="489"/>
      <c r="L577" s="489"/>
      <c r="M577" s="489"/>
      <c r="N577" s="489"/>
      <c r="O577" s="489"/>
      <c r="P577" s="489"/>
      <c r="Q577" s="489"/>
      <c r="R577" s="248"/>
      <c r="S577" s="248"/>
      <c r="T577" s="248"/>
      <c r="U577" s="248"/>
      <c r="V577" s="361"/>
      <c r="W577" s="248"/>
    </row>
    <row r="578" spans="1:23" ht="33" customHeight="1">
      <c r="A578" s="240">
        <v>2</v>
      </c>
      <c r="B578" s="300" t="s">
        <v>315</v>
      </c>
      <c r="C578" s="301" t="s">
        <v>118</v>
      </c>
      <c r="D578" s="300"/>
      <c r="E578" s="369">
        <v>1.5</v>
      </c>
      <c r="F578" s="290">
        <f>F575*95%</f>
        <v>7667.45</v>
      </c>
      <c r="G578" s="1082"/>
      <c r="H578" s="360">
        <f>F578*E578</f>
        <v>11501.175</v>
      </c>
      <c r="I578" s="360">
        <f aca="true" t="shared" si="63" ref="I578:I589">H578*10%</f>
        <v>1150.1175</v>
      </c>
      <c r="J578" s="489">
        <v>3795.39</v>
      </c>
      <c r="K578" s="489">
        <v>2319.41</v>
      </c>
      <c r="L578" s="489"/>
      <c r="M578" s="489"/>
      <c r="N578" s="489"/>
      <c r="O578" s="489"/>
      <c r="P578" s="489"/>
      <c r="Q578" s="489"/>
      <c r="R578" s="248"/>
      <c r="S578" s="248"/>
      <c r="T578" s="330"/>
      <c r="U578" s="248"/>
      <c r="V578" s="361"/>
      <c r="W578" s="248">
        <f>H578+I578+J578+K578+L578+M578+N578+O578+P578+Q578+R578+S578+T578+U578+V578</f>
        <v>18766.0925</v>
      </c>
    </row>
    <row r="579" spans="1:23" ht="27" customHeight="1" hidden="1">
      <c r="A579" s="240">
        <v>3</v>
      </c>
      <c r="B579" s="506" t="s">
        <v>330</v>
      </c>
      <c r="C579" s="365"/>
      <c r="D579" s="506"/>
      <c r="E579" s="358"/>
      <c r="F579" s="618"/>
      <c r="G579" s="619"/>
      <c r="H579" s="376"/>
      <c r="I579" s="376"/>
      <c r="J579" s="554"/>
      <c r="K579" s="553"/>
      <c r="L579" s="553"/>
      <c r="M579" s="620"/>
      <c r="N579" s="553"/>
      <c r="O579" s="553"/>
      <c r="P579" s="553"/>
      <c r="Q579" s="553"/>
      <c r="R579" s="315"/>
      <c r="S579" s="315"/>
      <c r="T579" s="435"/>
      <c r="U579" s="621"/>
      <c r="V579" s="622"/>
      <c r="W579" s="316">
        <f>H579+I579+J579+K579+L579+M579+N579+O579+P579+Q579+R579+S579+T579+U579+V579</f>
        <v>0</v>
      </c>
    </row>
    <row r="580" spans="1:23" ht="20.25" customHeight="1" hidden="1">
      <c r="A580" s="240">
        <v>4</v>
      </c>
      <c r="B580" s="267" t="s">
        <v>123</v>
      </c>
      <c r="C580" s="221"/>
      <c r="D580" s="267"/>
      <c r="E580" s="369"/>
      <c r="F580" s="315"/>
      <c r="G580" s="623"/>
      <c r="H580" s="314"/>
      <c r="I580" s="376"/>
      <c r="J580" s="554"/>
      <c r="K580" s="554"/>
      <c r="L580" s="554"/>
      <c r="M580" s="554"/>
      <c r="N580" s="554"/>
      <c r="O580" s="554"/>
      <c r="P580" s="554"/>
      <c r="Q580" s="554"/>
      <c r="R580" s="316"/>
      <c r="S580" s="316"/>
      <c r="T580" s="395"/>
      <c r="U580" s="316"/>
      <c r="V580" s="377"/>
      <c r="W580" s="380">
        <f>H580+I580+J580+K580+L580+M580+N580+O580+P580+Q580+R580+S580+T580+U580+V580</f>
        <v>0</v>
      </c>
    </row>
    <row r="581" spans="1:23" ht="20.25" customHeight="1" hidden="1">
      <c r="A581" s="240">
        <v>5</v>
      </c>
      <c r="B581" s="267" t="s">
        <v>76</v>
      </c>
      <c r="C581" s="221"/>
      <c r="D581" s="267"/>
      <c r="E581" s="369"/>
      <c r="F581" s="316"/>
      <c r="G581" s="624"/>
      <c r="H581" s="314"/>
      <c r="I581" s="376"/>
      <c r="J581" s="554"/>
      <c r="K581" s="554"/>
      <c r="L581" s="554"/>
      <c r="M581" s="554"/>
      <c r="N581" s="554"/>
      <c r="O581" s="554"/>
      <c r="P581" s="554"/>
      <c r="Q581" s="554"/>
      <c r="R581" s="316"/>
      <c r="S581" s="316"/>
      <c r="T581" s="395"/>
      <c r="U581" s="316"/>
      <c r="V581" s="377"/>
      <c r="W581" s="380">
        <f>H581+I581+J581+K581+L581+M581+N581+O581+P581+Q581+R581+S581+T581+U581+V581</f>
        <v>0</v>
      </c>
    </row>
    <row r="582" spans="1:23" ht="22.5" customHeight="1">
      <c r="A582" s="240">
        <v>3</v>
      </c>
      <c r="B582" s="300" t="s">
        <v>201</v>
      </c>
      <c r="C582" s="301" t="s">
        <v>121</v>
      </c>
      <c r="D582" s="300"/>
      <c r="E582" s="248">
        <v>0.75</v>
      </c>
      <c r="F582" s="237">
        <v>5699</v>
      </c>
      <c r="G582" s="286">
        <v>11</v>
      </c>
      <c r="H582" s="250">
        <f aca="true" t="shared" si="64" ref="H582:H589">F582*E582</f>
        <v>4274.25</v>
      </c>
      <c r="I582" s="360">
        <f t="shared" si="63"/>
        <v>427.425</v>
      </c>
      <c r="J582" s="489">
        <v>470.17</v>
      </c>
      <c r="K582" s="489">
        <v>705.25</v>
      </c>
      <c r="L582" s="489"/>
      <c r="M582" s="489"/>
      <c r="N582" s="489"/>
      <c r="O582" s="489"/>
      <c r="P582" s="489"/>
      <c r="Q582" s="489"/>
      <c r="R582" s="248"/>
      <c r="S582" s="248"/>
      <c r="T582" s="330"/>
      <c r="U582" s="248"/>
      <c r="V582" s="361"/>
      <c r="W582" s="297">
        <f aca="true" t="shared" si="65" ref="W582:W589">H582+I582+J582+K582+L582+M582+N582+O582+P582+Q582+R582+S582+T582+U582+V582</f>
        <v>5877.095</v>
      </c>
    </row>
    <row r="583" spans="1:23" ht="25.5" customHeight="1">
      <c r="A583" s="240">
        <v>4</v>
      </c>
      <c r="B583" s="300" t="s">
        <v>360</v>
      </c>
      <c r="C583" s="301">
        <v>2340</v>
      </c>
      <c r="D583" s="300"/>
      <c r="E583" s="248">
        <v>0.75</v>
      </c>
      <c r="F583" s="248">
        <v>5699</v>
      </c>
      <c r="G583" s="329">
        <v>11</v>
      </c>
      <c r="H583" s="250">
        <f t="shared" si="64"/>
        <v>4274.25</v>
      </c>
      <c r="I583" s="360">
        <f t="shared" si="63"/>
        <v>427.425</v>
      </c>
      <c r="J583" s="489">
        <f>(H583+I583)*10%</f>
        <v>470.1675</v>
      </c>
      <c r="K583" s="489">
        <v>705.25</v>
      </c>
      <c r="L583" s="489"/>
      <c r="M583" s="489"/>
      <c r="N583" s="489"/>
      <c r="O583" s="489"/>
      <c r="P583" s="489"/>
      <c r="Q583" s="489"/>
      <c r="R583" s="248"/>
      <c r="S583" s="248"/>
      <c r="T583" s="330"/>
      <c r="U583" s="248"/>
      <c r="V583" s="361"/>
      <c r="W583" s="297">
        <f t="shared" si="65"/>
        <v>5877.092500000001</v>
      </c>
    </row>
    <row r="584" spans="1:23" ht="16.5" customHeight="1">
      <c r="A584" s="240">
        <v>5</v>
      </c>
      <c r="B584" s="300" t="s">
        <v>204</v>
      </c>
      <c r="C584" s="301" t="s">
        <v>205</v>
      </c>
      <c r="D584" s="300"/>
      <c r="E584" s="369">
        <v>1</v>
      </c>
      <c r="F584" s="237">
        <v>6567</v>
      </c>
      <c r="G584" s="286">
        <v>13</v>
      </c>
      <c r="H584" s="250">
        <f t="shared" si="64"/>
        <v>6567</v>
      </c>
      <c r="I584" s="360">
        <f t="shared" si="63"/>
        <v>656.7</v>
      </c>
      <c r="J584" s="489">
        <f>(H584+I584)*20%</f>
        <v>1444.74</v>
      </c>
      <c r="K584" s="489">
        <v>1083.56</v>
      </c>
      <c r="L584" s="489"/>
      <c r="M584" s="489"/>
      <c r="N584" s="489"/>
      <c r="O584" s="489"/>
      <c r="P584" s="489"/>
      <c r="Q584" s="489"/>
      <c r="R584" s="248"/>
      <c r="S584" s="248"/>
      <c r="T584" s="330"/>
      <c r="U584" s="248"/>
      <c r="V584" s="361"/>
      <c r="W584" s="297">
        <f t="shared" si="65"/>
        <v>9752</v>
      </c>
    </row>
    <row r="585" spans="1:23" ht="52.5" customHeight="1">
      <c r="A585" s="240">
        <v>6</v>
      </c>
      <c r="B585" s="252" t="s">
        <v>203</v>
      </c>
      <c r="C585" s="253">
        <v>3330</v>
      </c>
      <c r="D585" s="252"/>
      <c r="E585" s="481">
        <v>2</v>
      </c>
      <c r="F585" s="481">
        <v>5265</v>
      </c>
      <c r="G585" s="286">
        <v>10</v>
      </c>
      <c r="H585" s="250">
        <f t="shared" si="64"/>
        <v>10530</v>
      </c>
      <c r="I585" s="360">
        <f t="shared" si="63"/>
        <v>1053</v>
      </c>
      <c r="J585" s="489">
        <f>(H585+I585+L585)*20%</f>
        <v>2737.8</v>
      </c>
      <c r="K585" s="489">
        <v>2053.36</v>
      </c>
      <c r="L585" s="560">
        <f>H585*20%</f>
        <v>2106</v>
      </c>
      <c r="M585" s="489"/>
      <c r="N585" s="489"/>
      <c r="O585" s="489"/>
      <c r="P585" s="489"/>
      <c r="Q585" s="489"/>
      <c r="R585" s="248"/>
      <c r="S585" s="248"/>
      <c r="T585" s="330"/>
      <c r="U585" s="290"/>
      <c r="V585" s="361"/>
      <c r="W585" s="297">
        <f t="shared" si="65"/>
        <v>18480.16</v>
      </c>
    </row>
    <row r="586" spans="1:23" ht="20.25" customHeight="1">
      <c r="A586" s="240">
        <v>7</v>
      </c>
      <c r="B586" s="300" t="s">
        <v>206</v>
      </c>
      <c r="C586" s="301">
        <v>3340</v>
      </c>
      <c r="D586" s="300"/>
      <c r="E586" s="369">
        <v>1</v>
      </c>
      <c r="F586" s="237">
        <v>6133</v>
      </c>
      <c r="G586" s="286" t="s">
        <v>361</v>
      </c>
      <c r="H586" s="250">
        <f t="shared" si="64"/>
        <v>6133</v>
      </c>
      <c r="I586" s="360">
        <f t="shared" si="63"/>
        <v>613.3000000000001</v>
      </c>
      <c r="J586" s="489">
        <v>1349.26</v>
      </c>
      <c r="K586" s="489">
        <v>1011.95</v>
      </c>
      <c r="L586" s="560"/>
      <c r="M586" s="489"/>
      <c r="N586" s="489"/>
      <c r="O586" s="489"/>
      <c r="P586" s="489"/>
      <c r="Q586" s="489"/>
      <c r="R586" s="248"/>
      <c r="S586" s="248"/>
      <c r="T586" s="330"/>
      <c r="U586" s="248"/>
      <c r="V586" s="361"/>
      <c r="W586" s="297">
        <f t="shared" si="65"/>
        <v>9107.51</v>
      </c>
    </row>
    <row r="587" spans="1:23" ht="20.25" customHeight="1">
      <c r="A587" s="240">
        <v>8</v>
      </c>
      <c r="B587" s="300" t="s">
        <v>206</v>
      </c>
      <c r="C587" s="301">
        <v>3340</v>
      </c>
      <c r="D587" s="300"/>
      <c r="E587" s="369">
        <v>2.5</v>
      </c>
      <c r="F587" s="237">
        <v>14247.5</v>
      </c>
      <c r="G587" s="286">
        <v>11</v>
      </c>
      <c r="H587" s="250">
        <v>14247.5</v>
      </c>
      <c r="I587" s="360">
        <f t="shared" si="63"/>
        <v>1424.75</v>
      </c>
      <c r="J587" s="489">
        <v>1567.22</v>
      </c>
      <c r="K587" s="489">
        <v>2350.83</v>
      </c>
      <c r="L587" s="489"/>
      <c r="M587" s="489"/>
      <c r="N587" s="489"/>
      <c r="O587" s="489"/>
      <c r="P587" s="489"/>
      <c r="Q587" s="489"/>
      <c r="R587" s="248"/>
      <c r="S587" s="248"/>
      <c r="T587" s="330"/>
      <c r="U587" s="248"/>
      <c r="V587" s="361"/>
      <c r="W587" s="297">
        <f t="shared" si="65"/>
        <v>19590.300000000003</v>
      </c>
    </row>
    <row r="588" spans="1:23" ht="21" customHeight="1">
      <c r="A588" s="268">
        <v>9</v>
      </c>
      <c r="B588" s="300" t="s">
        <v>231</v>
      </c>
      <c r="C588" s="301" t="s">
        <v>211</v>
      </c>
      <c r="D588" s="300"/>
      <c r="E588" s="369">
        <v>0.5</v>
      </c>
      <c r="F588" s="237">
        <v>5265</v>
      </c>
      <c r="G588" s="286">
        <v>10</v>
      </c>
      <c r="H588" s="250">
        <f t="shared" si="64"/>
        <v>2632.5</v>
      </c>
      <c r="I588" s="360">
        <f t="shared" si="63"/>
        <v>263.25</v>
      </c>
      <c r="J588" s="489">
        <f>(H588+I588+L588+M588)*10%</f>
        <v>289.575</v>
      </c>
      <c r="K588" s="489">
        <v>434.36</v>
      </c>
      <c r="L588" s="489"/>
      <c r="M588" s="489"/>
      <c r="N588" s="489"/>
      <c r="O588" s="489"/>
      <c r="P588" s="489"/>
      <c r="Q588" s="489"/>
      <c r="R588" s="248"/>
      <c r="S588" s="248"/>
      <c r="T588" s="330"/>
      <c r="U588" s="248"/>
      <c r="V588" s="361"/>
      <c r="W588" s="297">
        <f t="shared" si="65"/>
        <v>3619.685</v>
      </c>
    </row>
    <row r="589" spans="1:23" ht="21" customHeight="1">
      <c r="A589" s="268">
        <v>10</v>
      </c>
      <c r="B589" s="493" t="s">
        <v>207</v>
      </c>
      <c r="C589" s="362">
        <v>3340</v>
      </c>
      <c r="D589" s="493"/>
      <c r="E589" s="442">
        <v>1</v>
      </c>
      <c r="F589" s="443">
        <v>5699</v>
      </c>
      <c r="G589" s="561">
        <v>11</v>
      </c>
      <c r="H589" s="296">
        <f t="shared" si="64"/>
        <v>5699</v>
      </c>
      <c r="I589" s="382">
        <f t="shared" si="63"/>
        <v>569.9</v>
      </c>
      <c r="J589" s="489">
        <v>626.89</v>
      </c>
      <c r="K589" s="502">
        <v>940.34</v>
      </c>
      <c r="L589" s="502"/>
      <c r="M589" s="502"/>
      <c r="N589" s="502"/>
      <c r="O589" s="502"/>
      <c r="P589" s="502"/>
      <c r="Q589" s="502"/>
      <c r="R589" s="297"/>
      <c r="S589" s="297"/>
      <c r="T589" s="494"/>
      <c r="U589" s="297"/>
      <c r="V589" s="579"/>
      <c r="W589" s="297">
        <f t="shared" si="65"/>
        <v>7836.13</v>
      </c>
    </row>
    <row r="590" spans="1:23" ht="22.5" customHeight="1" thickBot="1">
      <c r="A590" s="268">
        <v>11</v>
      </c>
      <c r="B590" s="585" t="s">
        <v>208</v>
      </c>
      <c r="C590" s="586">
        <v>2320</v>
      </c>
      <c r="D590" s="585"/>
      <c r="E590" s="588">
        <v>28.3</v>
      </c>
      <c r="F590" s="589"/>
      <c r="G590" s="590"/>
      <c r="H590" s="592">
        <v>197170.4</v>
      </c>
      <c r="I590" s="592">
        <v>19717.04</v>
      </c>
      <c r="J590" s="588">
        <v>47238.28</v>
      </c>
      <c r="K590" s="588">
        <v>35239.61</v>
      </c>
      <c r="L590" s="588"/>
      <c r="M590" s="588"/>
      <c r="N590" s="588"/>
      <c r="O590" s="588">
        <v>13697.29</v>
      </c>
      <c r="P590" s="588">
        <v>20255</v>
      </c>
      <c r="Q590" s="588">
        <v>770.11</v>
      </c>
      <c r="R590" s="588"/>
      <c r="S590" s="588"/>
      <c r="T590" s="588"/>
      <c r="U590" s="588"/>
      <c r="V590" s="588"/>
      <c r="W590" s="588">
        <f>H590+I590+J590+K590+L590+M590+N590+O590+P590+Q590+R590+S590+T590+U590+V590</f>
        <v>334087.7299999999</v>
      </c>
    </row>
    <row r="591" spans="1:23" ht="18.75" customHeight="1" thickBot="1">
      <c r="A591" s="505"/>
      <c r="B591" s="593" t="s">
        <v>265</v>
      </c>
      <c r="C591" s="594"/>
      <c r="D591" s="593"/>
      <c r="E591" s="596">
        <f>E575+E577+E578+E580+E582+E583+E584+E585+E587+E588+E590+E579+E586+E581+E589</f>
        <v>40.3</v>
      </c>
      <c r="F591" s="597"/>
      <c r="G591" s="597"/>
      <c r="H591" s="596">
        <f>H575+H577+H578+H580+H582+H583+H584+H585+H587+H588+H590+H579+H586+H581+H589</f>
        <v>271100.075</v>
      </c>
      <c r="I591" s="596">
        <f aca="true" t="shared" si="66" ref="I591:V591">I575+I577+I578+I580+I582+I583+I584+I585+I587+I588+I590+I579+I586+I581+I589</f>
        <v>27110.007500000003</v>
      </c>
      <c r="J591" s="596">
        <f t="shared" si="66"/>
        <v>62652.9225</v>
      </c>
      <c r="K591" s="596">
        <f t="shared" si="66"/>
        <v>48619.53999999999</v>
      </c>
      <c r="L591" s="596">
        <f t="shared" si="66"/>
        <v>2106</v>
      </c>
      <c r="M591" s="596">
        <f t="shared" si="66"/>
        <v>0</v>
      </c>
      <c r="N591" s="596">
        <f t="shared" si="66"/>
        <v>0</v>
      </c>
      <c r="O591" s="596">
        <f t="shared" si="66"/>
        <v>13697.29</v>
      </c>
      <c r="P591" s="596">
        <f t="shared" si="66"/>
        <v>20255</v>
      </c>
      <c r="Q591" s="596">
        <f t="shared" si="66"/>
        <v>770.11</v>
      </c>
      <c r="R591" s="596">
        <f t="shared" si="66"/>
        <v>0</v>
      </c>
      <c r="S591" s="596">
        <f t="shared" si="66"/>
        <v>0</v>
      </c>
      <c r="T591" s="596">
        <f t="shared" si="66"/>
        <v>0</v>
      </c>
      <c r="U591" s="596">
        <f t="shared" si="66"/>
        <v>0</v>
      </c>
      <c r="V591" s="596">
        <f t="shared" si="66"/>
        <v>0</v>
      </c>
      <c r="W591" s="596">
        <f>W575+W577+W578+W580+W582+W583+W584+W585+W587+W588+W590+W579+W586+W581+W589</f>
        <v>446310.94499999995</v>
      </c>
    </row>
    <row r="592" spans="1:23" ht="18.75" customHeight="1">
      <c r="A592" s="228">
        <v>12</v>
      </c>
      <c r="B592" s="506" t="s">
        <v>210</v>
      </c>
      <c r="C592" s="365" t="s">
        <v>211</v>
      </c>
      <c r="D592" s="506"/>
      <c r="E592" s="358">
        <v>1</v>
      </c>
      <c r="F592" s="387">
        <v>5265</v>
      </c>
      <c r="G592" s="286">
        <v>10</v>
      </c>
      <c r="H592" s="431">
        <v>5265</v>
      </c>
      <c r="I592" s="250"/>
      <c r="J592" s="237">
        <v>1053</v>
      </c>
      <c r="K592" s="237"/>
      <c r="L592" s="237">
        <v>526.5</v>
      </c>
      <c r="M592" s="237"/>
      <c r="N592" s="237"/>
      <c r="O592" s="237"/>
      <c r="P592" s="237"/>
      <c r="Q592" s="237"/>
      <c r="R592" s="237"/>
      <c r="S592" s="237"/>
      <c r="T592" s="237"/>
      <c r="U592" s="237"/>
      <c r="V592" s="388"/>
      <c r="W592" s="237">
        <f aca="true" t="shared" si="67" ref="W592:W603">H592+I592+J592+K592+L592+M592+N592+O592+P592+Q592+R592+S592+T592+U592+V592</f>
        <v>6844.5</v>
      </c>
    </row>
    <row r="593" spans="1:23" ht="28.5" customHeight="1" hidden="1">
      <c r="A593" s="240">
        <v>10</v>
      </c>
      <c r="B593" s="267"/>
      <c r="C593" s="221"/>
      <c r="D593" s="267"/>
      <c r="E593" s="369"/>
      <c r="F593" s="387"/>
      <c r="G593" s="286"/>
      <c r="H593" s="431">
        <f>F593*E593</f>
        <v>0</v>
      </c>
      <c r="I593" s="250"/>
      <c r="J593" s="237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248"/>
      <c r="V593" s="388"/>
      <c r="W593" s="237">
        <f t="shared" si="67"/>
        <v>0</v>
      </c>
    </row>
    <row r="594" spans="1:23" ht="33.75" customHeight="1" hidden="1">
      <c r="A594" s="240">
        <v>15</v>
      </c>
      <c r="B594" s="267"/>
      <c r="C594" s="221"/>
      <c r="D594" s="267"/>
      <c r="E594" s="369"/>
      <c r="F594" s="387"/>
      <c r="G594" s="431"/>
      <c r="H594" s="431"/>
      <c r="I594" s="250"/>
      <c r="J594" s="248"/>
      <c r="K594" s="248"/>
      <c r="L594" s="248"/>
      <c r="M594" s="248"/>
      <c r="N594" s="248"/>
      <c r="O594" s="248"/>
      <c r="P594" s="248"/>
      <c r="Q594" s="248"/>
      <c r="R594" s="248"/>
      <c r="S594" s="248"/>
      <c r="T594" s="248"/>
      <c r="U594" s="248">
        <f>H594*15%</f>
        <v>0</v>
      </c>
      <c r="V594" s="388"/>
      <c r="W594" s="237">
        <f t="shared" si="67"/>
        <v>0</v>
      </c>
    </row>
    <row r="595" spans="1:23" ht="24" customHeight="1">
      <c r="A595" s="240">
        <v>13</v>
      </c>
      <c r="B595" s="300" t="s">
        <v>122</v>
      </c>
      <c r="C595" s="301">
        <v>1239</v>
      </c>
      <c r="D595" s="300"/>
      <c r="E595" s="369">
        <v>1</v>
      </c>
      <c r="F595" s="387">
        <v>4745</v>
      </c>
      <c r="G595" s="328">
        <v>8</v>
      </c>
      <c r="H595" s="431">
        <f aca="true" t="shared" si="68" ref="H595:H603">F595*E595</f>
        <v>4745</v>
      </c>
      <c r="I595" s="250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  <c r="U595" s="248">
        <v>2372.5</v>
      </c>
      <c r="V595" s="388"/>
      <c r="W595" s="237">
        <f t="shared" si="67"/>
        <v>7117.5</v>
      </c>
    </row>
    <row r="596" spans="1:23" ht="23.25" customHeight="1">
      <c r="A596" s="240">
        <v>14</v>
      </c>
      <c r="B596" s="267" t="s">
        <v>212</v>
      </c>
      <c r="C596" s="221">
        <v>3231</v>
      </c>
      <c r="D596" s="267"/>
      <c r="E596" s="369">
        <v>1</v>
      </c>
      <c r="F596" s="387">
        <v>4195</v>
      </c>
      <c r="G596" s="286">
        <v>6</v>
      </c>
      <c r="H596" s="431">
        <f t="shared" si="68"/>
        <v>4195</v>
      </c>
      <c r="I596" s="250"/>
      <c r="J596" s="248">
        <f>F596*20%</f>
        <v>839</v>
      </c>
      <c r="K596" s="248"/>
      <c r="L596" s="248"/>
      <c r="M596" s="248"/>
      <c r="N596" s="248"/>
      <c r="O596" s="248"/>
      <c r="P596" s="248"/>
      <c r="Q596" s="248"/>
      <c r="R596" s="248"/>
      <c r="S596" s="248"/>
      <c r="T596" s="248"/>
      <c r="U596" s="248"/>
      <c r="V596" s="388">
        <f>6700*E596-H596-I596-J596-K596-L596-M596-N596-O596-P596-Q596-U596</f>
        <v>1666</v>
      </c>
      <c r="W596" s="237">
        <f t="shared" si="67"/>
        <v>6700</v>
      </c>
    </row>
    <row r="597" spans="1:23" ht="21.75" customHeight="1">
      <c r="A597" s="240">
        <v>15</v>
      </c>
      <c r="B597" s="300" t="s">
        <v>216</v>
      </c>
      <c r="C597" s="301">
        <v>4115</v>
      </c>
      <c r="D597" s="300"/>
      <c r="E597" s="369">
        <v>1</v>
      </c>
      <c r="F597" s="387">
        <v>3934</v>
      </c>
      <c r="G597" s="286">
        <v>5</v>
      </c>
      <c r="H597" s="431">
        <f t="shared" si="68"/>
        <v>3934</v>
      </c>
      <c r="I597" s="250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  <c r="U597" s="248"/>
      <c r="V597" s="388">
        <f>6700*E597-H597-I597-J597-K597-L597-M597-N597-O597-P597-Q597-U597</f>
        <v>2766</v>
      </c>
      <c r="W597" s="237">
        <f t="shared" si="67"/>
        <v>6700</v>
      </c>
    </row>
    <row r="598" spans="1:23" ht="28.5" customHeight="1" hidden="1">
      <c r="A598" s="240">
        <v>19</v>
      </c>
      <c r="B598" s="300"/>
      <c r="C598" s="301"/>
      <c r="D598" s="300"/>
      <c r="E598" s="248"/>
      <c r="F598" s="387"/>
      <c r="G598" s="286"/>
      <c r="H598" s="431"/>
      <c r="I598" s="250"/>
      <c r="J598" s="248"/>
      <c r="K598" s="248"/>
      <c r="L598" s="248"/>
      <c r="M598" s="248"/>
      <c r="N598" s="248"/>
      <c r="O598" s="248"/>
      <c r="P598" s="248"/>
      <c r="Q598" s="248"/>
      <c r="R598" s="248"/>
      <c r="S598" s="248"/>
      <c r="T598" s="248"/>
      <c r="U598" s="248"/>
      <c r="V598" s="388"/>
      <c r="W598" s="237">
        <f t="shared" si="67"/>
        <v>0</v>
      </c>
    </row>
    <row r="599" spans="1:23" ht="42.75" customHeight="1">
      <c r="A599" s="240">
        <v>16</v>
      </c>
      <c r="B599" s="300" t="s">
        <v>332</v>
      </c>
      <c r="C599" s="301">
        <v>7129</v>
      </c>
      <c r="D599" s="300"/>
      <c r="E599" s="391">
        <v>1</v>
      </c>
      <c r="F599" s="452">
        <v>3674</v>
      </c>
      <c r="G599" s="286">
        <v>4</v>
      </c>
      <c r="H599" s="431">
        <f t="shared" si="68"/>
        <v>3674</v>
      </c>
      <c r="I599" s="250"/>
      <c r="J599" s="248"/>
      <c r="K599" s="248"/>
      <c r="L599" s="248"/>
      <c r="M599" s="248"/>
      <c r="N599" s="248"/>
      <c r="O599" s="248"/>
      <c r="P599" s="248"/>
      <c r="Q599" s="248"/>
      <c r="R599" s="248"/>
      <c r="S599" s="248"/>
      <c r="T599" s="248"/>
      <c r="U599" s="248"/>
      <c r="V599" s="388">
        <f aca="true" t="shared" si="69" ref="V599:V607">6700*E599-H599-I599-J599-K599-L599-M599-N599-O599-P599-Q599-U599</f>
        <v>3026</v>
      </c>
      <c r="W599" s="237">
        <f t="shared" si="67"/>
        <v>6700</v>
      </c>
    </row>
    <row r="600" spans="1:23" ht="21" customHeight="1">
      <c r="A600" s="240">
        <v>17</v>
      </c>
      <c r="B600" s="300" t="s">
        <v>10</v>
      </c>
      <c r="C600" s="301">
        <v>9152</v>
      </c>
      <c r="D600" s="300"/>
      <c r="E600" s="481">
        <v>3</v>
      </c>
      <c r="F600" s="452">
        <v>3153</v>
      </c>
      <c r="G600" s="286">
        <v>2</v>
      </c>
      <c r="H600" s="431">
        <f t="shared" si="68"/>
        <v>9459</v>
      </c>
      <c r="I600" s="250"/>
      <c r="J600" s="248"/>
      <c r="K600" s="248"/>
      <c r="L600" s="248"/>
      <c r="M600" s="248"/>
      <c r="N600" s="248"/>
      <c r="O600" s="248"/>
      <c r="P600" s="248"/>
      <c r="Q600" s="248"/>
      <c r="R600" s="248"/>
      <c r="S600" s="248"/>
      <c r="T600" s="290">
        <f>F600*40%*E600</f>
        <v>3783.6000000000004</v>
      </c>
      <c r="U600" s="248"/>
      <c r="V600" s="388">
        <f t="shared" si="69"/>
        <v>10641</v>
      </c>
      <c r="W600" s="237">
        <f t="shared" si="67"/>
        <v>23883.6</v>
      </c>
    </row>
    <row r="601" spans="1:23" ht="26.25" customHeight="1">
      <c r="A601" s="240">
        <v>18</v>
      </c>
      <c r="B601" s="267" t="s">
        <v>87</v>
      </c>
      <c r="C601" s="221">
        <v>9132</v>
      </c>
      <c r="D601" s="267"/>
      <c r="E601" s="391">
        <v>8</v>
      </c>
      <c r="F601" s="452">
        <v>3153</v>
      </c>
      <c r="G601" s="286">
        <v>2</v>
      </c>
      <c r="H601" s="431">
        <f t="shared" si="68"/>
        <v>25224</v>
      </c>
      <c r="I601" s="250"/>
      <c r="J601" s="248"/>
      <c r="K601" s="248"/>
      <c r="L601" s="248"/>
      <c r="M601" s="248"/>
      <c r="N601" s="248"/>
      <c r="O601" s="248"/>
      <c r="P601" s="248"/>
      <c r="Q601" s="248"/>
      <c r="R601" s="248"/>
      <c r="S601" s="248">
        <f>F601*10%*8</f>
        <v>2522.4</v>
      </c>
      <c r="T601" s="330"/>
      <c r="U601" s="248"/>
      <c r="V601" s="388">
        <f t="shared" si="69"/>
        <v>28376</v>
      </c>
      <c r="W601" s="237">
        <f t="shared" si="67"/>
        <v>56122.4</v>
      </c>
    </row>
    <row r="602" spans="1:23" ht="16.5" customHeight="1">
      <c r="A602" s="240">
        <v>19</v>
      </c>
      <c r="B602" s="267" t="s">
        <v>362</v>
      </c>
      <c r="C602" s="221">
        <v>8322</v>
      </c>
      <c r="D602" s="267"/>
      <c r="E602" s="391">
        <v>2</v>
      </c>
      <c r="F602" s="452">
        <v>3153</v>
      </c>
      <c r="G602" s="328">
        <v>2</v>
      </c>
      <c r="H602" s="431">
        <f>F602*E602</f>
        <v>6306</v>
      </c>
      <c r="I602" s="250"/>
      <c r="J602" s="248"/>
      <c r="K602" s="248"/>
      <c r="L602" s="248"/>
      <c r="M602" s="248"/>
      <c r="N602" s="248"/>
      <c r="O602" s="248"/>
      <c r="P602" s="248"/>
      <c r="Q602" s="248">
        <f>H602*25%</f>
        <v>1576.5</v>
      </c>
      <c r="R602" s="248"/>
      <c r="S602" s="248"/>
      <c r="T602" s="330"/>
      <c r="U602" s="248"/>
      <c r="V602" s="388">
        <f>6700*E602-H602-I602-J602-K602-L602-M602-N602-O602-P602-Q602-U602</f>
        <v>5517.5</v>
      </c>
      <c r="W602" s="237">
        <f t="shared" si="67"/>
        <v>13400</v>
      </c>
    </row>
    <row r="603" spans="1:23" ht="18.75" customHeight="1">
      <c r="A603" s="240">
        <v>20</v>
      </c>
      <c r="B603" s="267" t="s">
        <v>68</v>
      </c>
      <c r="C603" s="221">
        <v>3570</v>
      </c>
      <c r="D603" s="267"/>
      <c r="E603" s="391">
        <v>1</v>
      </c>
      <c r="F603" s="452">
        <v>4195</v>
      </c>
      <c r="G603" s="328">
        <v>6</v>
      </c>
      <c r="H603" s="431">
        <f t="shared" si="68"/>
        <v>4195</v>
      </c>
      <c r="I603" s="250"/>
      <c r="J603" s="248"/>
      <c r="K603" s="248"/>
      <c r="L603" s="248"/>
      <c r="M603" s="248"/>
      <c r="N603" s="248"/>
      <c r="O603" s="248"/>
      <c r="P603" s="248"/>
      <c r="Q603" s="248"/>
      <c r="R603" s="248"/>
      <c r="S603" s="248"/>
      <c r="T603" s="330"/>
      <c r="U603" s="248">
        <f>F603*E603*15%</f>
        <v>629.25</v>
      </c>
      <c r="V603" s="388">
        <f t="shared" si="69"/>
        <v>1875.75</v>
      </c>
      <c r="W603" s="237">
        <f t="shared" si="67"/>
        <v>6700</v>
      </c>
    </row>
    <row r="604" spans="1:23" ht="15" customHeight="1">
      <c r="A604" s="240">
        <v>21</v>
      </c>
      <c r="B604" s="300" t="s">
        <v>8</v>
      </c>
      <c r="C604" s="301">
        <v>5122</v>
      </c>
      <c r="D604" s="300"/>
      <c r="E604" s="391">
        <v>1</v>
      </c>
      <c r="F604" s="452">
        <v>3934</v>
      </c>
      <c r="G604" s="286">
        <v>5</v>
      </c>
      <c r="H604" s="431">
        <f>F604*E604</f>
        <v>3934</v>
      </c>
      <c r="I604" s="250"/>
      <c r="J604" s="248"/>
      <c r="K604" s="248"/>
      <c r="L604" s="248"/>
      <c r="M604" s="248"/>
      <c r="N604" s="248"/>
      <c r="O604" s="248"/>
      <c r="P604" s="248"/>
      <c r="Q604" s="248"/>
      <c r="R604" s="290"/>
      <c r="S604" s="248"/>
      <c r="T604" s="330"/>
      <c r="U604" s="248">
        <f>F604*E604*15%</f>
        <v>590.1</v>
      </c>
      <c r="V604" s="388">
        <f t="shared" si="69"/>
        <v>2175.9</v>
      </c>
      <c r="W604" s="237">
        <f>H604+I604+J604+K604+L604+M604+N604+O604+P604+Q604+R604+S604+T604+U604+V604</f>
        <v>6700</v>
      </c>
    </row>
    <row r="605" spans="1:23" ht="20.25" customHeight="1">
      <c r="A605" s="240">
        <v>22</v>
      </c>
      <c r="B605" s="267" t="s">
        <v>128</v>
      </c>
      <c r="C605" s="221">
        <v>9132</v>
      </c>
      <c r="D605" s="300"/>
      <c r="E605" s="391">
        <v>1</v>
      </c>
      <c r="F605" s="452">
        <v>2893</v>
      </c>
      <c r="G605" s="286">
        <v>1</v>
      </c>
      <c r="H605" s="431">
        <f>F605*E605</f>
        <v>2893</v>
      </c>
      <c r="I605" s="250"/>
      <c r="J605" s="248"/>
      <c r="K605" s="248"/>
      <c r="L605" s="248"/>
      <c r="M605" s="248"/>
      <c r="N605" s="248"/>
      <c r="O605" s="248"/>
      <c r="P605" s="248"/>
      <c r="Q605" s="248"/>
      <c r="R605" s="290"/>
      <c r="S605" s="248"/>
      <c r="T605" s="330"/>
      <c r="U605" s="248">
        <f>F605*E605*15%</f>
        <v>433.95</v>
      </c>
      <c r="V605" s="388">
        <f t="shared" si="69"/>
        <v>3373.05</v>
      </c>
      <c r="W605" s="237">
        <f>H605+I605+J605+K605+L605+M605+N605+O605+P605+Q605+R605+S605+T605+U605+V605</f>
        <v>6700</v>
      </c>
    </row>
    <row r="606" spans="1:23" ht="15" customHeight="1" hidden="1">
      <c r="A606" s="240">
        <v>25</v>
      </c>
      <c r="B606" s="300"/>
      <c r="C606" s="301"/>
      <c r="D606" s="300"/>
      <c r="E606" s="391"/>
      <c r="F606" s="452"/>
      <c r="G606" s="286"/>
      <c r="H606" s="431"/>
      <c r="I606" s="250"/>
      <c r="J606" s="248"/>
      <c r="K606" s="248"/>
      <c r="L606" s="248"/>
      <c r="M606" s="248"/>
      <c r="N606" s="248"/>
      <c r="O606" s="248"/>
      <c r="P606" s="248"/>
      <c r="Q606" s="248"/>
      <c r="R606" s="290"/>
      <c r="S606" s="248"/>
      <c r="T606" s="330"/>
      <c r="U606" s="248"/>
      <c r="V606" s="388">
        <f t="shared" si="69"/>
        <v>0</v>
      </c>
      <c r="W606" s="237">
        <f>H606+I606+J606+K606+L606+M606+N606+O606+P606+Q606+R606+S606+T606+U606+V606</f>
        <v>0</v>
      </c>
    </row>
    <row r="607" spans="1:23" ht="19.5" customHeight="1">
      <c r="A607" s="240">
        <v>23</v>
      </c>
      <c r="B607" s="300" t="s">
        <v>12</v>
      </c>
      <c r="C607" s="301">
        <v>4131</v>
      </c>
      <c r="D607" s="300"/>
      <c r="E607" s="391">
        <v>1</v>
      </c>
      <c r="F607" s="452">
        <v>3153</v>
      </c>
      <c r="G607" s="286">
        <v>2</v>
      </c>
      <c r="H607" s="431">
        <f>F607*E607</f>
        <v>3153</v>
      </c>
      <c r="I607" s="250"/>
      <c r="J607" s="248"/>
      <c r="K607" s="248"/>
      <c r="L607" s="248"/>
      <c r="M607" s="248"/>
      <c r="N607" s="248"/>
      <c r="O607" s="248"/>
      <c r="P607" s="248"/>
      <c r="Q607" s="248"/>
      <c r="R607" s="290"/>
      <c r="S607" s="248"/>
      <c r="T607" s="330"/>
      <c r="U607" s="248"/>
      <c r="V607" s="388">
        <f t="shared" si="69"/>
        <v>3547</v>
      </c>
      <c r="W607" s="237">
        <f>H607+I607+J607+K607+L607+M607+N607+O607+P607+Q607+R607+S607+T607+U607+V607</f>
        <v>6700</v>
      </c>
    </row>
    <row r="608" spans="1:23" ht="32.25" customHeight="1">
      <c r="A608" s="254"/>
      <c r="B608" s="1083" t="s">
        <v>363</v>
      </c>
      <c r="C608" s="1084"/>
      <c r="D608" s="1084"/>
      <c r="E608" s="1085"/>
      <c r="F608" s="1085"/>
      <c r="G608" s="1085"/>
      <c r="H608" s="1085"/>
      <c r="I608" s="1085"/>
      <c r="J608" s="1085"/>
      <c r="K608" s="1085"/>
      <c r="L608" s="1085"/>
      <c r="M608" s="1085"/>
      <c r="N608" s="1085"/>
      <c r="O608" s="1085"/>
      <c r="P608" s="1085"/>
      <c r="Q608" s="1085"/>
      <c r="R608" s="1085"/>
      <c r="S608" s="1085"/>
      <c r="T608" s="1085"/>
      <c r="U608" s="1085"/>
      <c r="V608" s="1086"/>
      <c r="W608" s="315"/>
    </row>
    <row r="609" spans="1:23" ht="29.25" customHeight="1">
      <c r="A609" s="240">
        <v>24</v>
      </c>
      <c r="B609" s="429" t="s">
        <v>11</v>
      </c>
      <c r="C609" s="430" t="s">
        <v>119</v>
      </c>
      <c r="D609" s="429"/>
      <c r="E609" s="369">
        <v>0.5</v>
      </c>
      <c r="F609" s="387">
        <v>6133</v>
      </c>
      <c r="G609" s="286">
        <v>12</v>
      </c>
      <c r="H609" s="508">
        <f>F609*E609</f>
        <v>3066.5</v>
      </c>
      <c r="I609" s="508">
        <f>H609*10%</f>
        <v>306.65000000000003</v>
      </c>
      <c r="J609" s="248">
        <f>(H609+I609+M609)*20%</f>
        <v>674.6300000000001</v>
      </c>
      <c r="K609" s="248">
        <f>(H609+I609+M609)*10%</f>
        <v>337.31500000000005</v>
      </c>
      <c r="L609" s="248"/>
      <c r="M609" s="248"/>
      <c r="N609" s="248"/>
      <c r="O609" s="248"/>
      <c r="P609" s="248"/>
      <c r="Q609" s="248"/>
      <c r="R609" s="290"/>
      <c r="S609" s="248"/>
      <c r="T609" s="330"/>
      <c r="U609" s="248"/>
      <c r="V609" s="388"/>
      <c r="W609" s="237">
        <f aca="true" t="shared" si="70" ref="W609:W634">H609+I609+J609+K609+L609+M609+N609+O609+P609+Q609+R609+S609+T609+U609+V609</f>
        <v>4385.095</v>
      </c>
    </row>
    <row r="610" spans="1:23" ht="18.75" customHeight="1" hidden="1">
      <c r="A610" s="254">
        <v>28</v>
      </c>
      <c r="B610" s="309"/>
      <c r="C610" s="310"/>
      <c r="D610" s="309"/>
      <c r="E610" s="316"/>
      <c r="F610" s="516"/>
      <c r="G610" s="517"/>
      <c r="H610" s="600"/>
      <c r="I610" s="600"/>
      <c r="J610" s="316"/>
      <c r="K610" s="316"/>
      <c r="L610" s="316"/>
      <c r="M610" s="316"/>
      <c r="N610" s="316"/>
      <c r="O610" s="316"/>
      <c r="P610" s="316"/>
      <c r="Q610" s="316"/>
      <c r="R610" s="518"/>
      <c r="S610" s="316"/>
      <c r="T610" s="395"/>
      <c r="U610" s="316"/>
      <c r="V610" s="477"/>
      <c r="W610" s="315">
        <f t="shared" si="70"/>
        <v>0</v>
      </c>
    </row>
    <row r="611" spans="1:23" ht="21.75" customHeight="1">
      <c r="A611" s="240">
        <v>25</v>
      </c>
      <c r="B611" s="300" t="s">
        <v>27</v>
      </c>
      <c r="C611" s="301" t="s">
        <v>120</v>
      </c>
      <c r="D611" s="300"/>
      <c r="E611" s="369">
        <v>0.5</v>
      </c>
      <c r="F611" s="387">
        <v>5005</v>
      </c>
      <c r="G611" s="487" t="s">
        <v>64</v>
      </c>
      <c r="H611" s="508">
        <f>F611*E611</f>
        <v>2502.5</v>
      </c>
      <c r="I611" s="508">
        <f>H611*10%</f>
        <v>250.25</v>
      </c>
      <c r="J611" s="248">
        <f>(H611+I611+M611)*20%</f>
        <v>550.5500000000001</v>
      </c>
      <c r="K611" s="248">
        <f>(H611+I611+M611)*10%</f>
        <v>275.27500000000003</v>
      </c>
      <c r="L611" s="248"/>
      <c r="M611" s="248"/>
      <c r="N611" s="248"/>
      <c r="O611" s="248"/>
      <c r="P611" s="248"/>
      <c r="Q611" s="248"/>
      <c r="R611" s="248"/>
      <c r="S611" s="248"/>
      <c r="T611" s="330"/>
      <c r="U611" s="290"/>
      <c r="V611" s="388"/>
      <c r="W611" s="237">
        <f t="shared" si="70"/>
        <v>3578.5750000000003</v>
      </c>
    </row>
    <row r="612" spans="1:23" ht="15.75" customHeight="1" hidden="1">
      <c r="A612" s="254">
        <v>30</v>
      </c>
      <c r="B612" s="309" t="s">
        <v>364</v>
      </c>
      <c r="C612" s="310"/>
      <c r="D612" s="309"/>
      <c r="E612" s="316"/>
      <c r="F612" s="516"/>
      <c r="G612" s="599"/>
      <c r="H612" s="600"/>
      <c r="I612" s="600"/>
      <c r="J612" s="316"/>
      <c r="K612" s="316"/>
      <c r="L612" s="316"/>
      <c r="M612" s="316"/>
      <c r="N612" s="316"/>
      <c r="O612" s="316"/>
      <c r="P612" s="316"/>
      <c r="Q612" s="316"/>
      <c r="R612" s="316"/>
      <c r="S612" s="316"/>
      <c r="T612" s="395"/>
      <c r="U612" s="518"/>
      <c r="V612" s="477"/>
      <c r="W612" s="315">
        <f t="shared" si="70"/>
        <v>0</v>
      </c>
    </row>
    <row r="613" spans="1:23" ht="27" customHeight="1" hidden="1">
      <c r="A613" s="254">
        <v>31</v>
      </c>
      <c r="B613" s="309" t="s">
        <v>135</v>
      </c>
      <c r="C613" s="310"/>
      <c r="D613" s="309"/>
      <c r="E613" s="515"/>
      <c r="F613" s="516"/>
      <c r="G613" s="599"/>
      <c r="H613" s="600"/>
      <c r="I613" s="600"/>
      <c r="J613" s="316"/>
      <c r="K613" s="316"/>
      <c r="L613" s="316"/>
      <c r="M613" s="316"/>
      <c r="N613" s="316"/>
      <c r="O613" s="316"/>
      <c r="P613" s="316"/>
      <c r="Q613" s="316"/>
      <c r="R613" s="316"/>
      <c r="S613" s="316"/>
      <c r="T613" s="395"/>
      <c r="U613" s="518"/>
      <c r="V613" s="477"/>
      <c r="W613" s="315">
        <f t="shared" si="70"/>
        <v>0</v>
      </c>
    </row>
    <row r="614" spans="1:23" ht="29.25" customHeight="1">
      <c r="A614" s="240">
        <v>26</v>
      </c>
      <c r="B614" s="300" t="s">
        <v>129</v>
      </c>
      <c r="C614" s="301">
        <v>3231</v>
      </c>
      <c r="D614" s="300"/>
      <c r="E614" s="248">
        <v>0.75</v>
      </c>
      <c r="F614" s="387">
        <v>4195</v>
      </c>
      <c r="G614" s="487">
        <v>6</v>
      </c>
      <c r="H614" s="508">
        <f aca="true" t="shared" si="71" ref="H614:H634">F614*E614</f>
        <v>3146.25</v>
      </c>
      <c r="I614" s="508"/>
      <c r="J614" s="248">
        <f>(H614+I614+M614)*30%</f>
        <v>1038.2625</v>
      </c>
      <c r="K614" s="248"/>
      <c r="L614" s="248"/>
      <c r="M614" s="248">
        <f>F614*10%*E614</f>
        <v>314.625</v>
      </c>
      <c r="N614" s="248"/>
      <c r="O614" s="248"/>
      <c r="P614" s="248"/>
      <c r="Q614" s="248"/>
      <c r="R614" s="248"/>
      <c r="S614" s="248"/>
      <c r="T614" s="330"/>
      <c r="U614" s="290"/>
      <c r="V614" s="388">
        <f>6700*E614-H614-I614-J614-K614-L614-M614-N614-O614-P614-Q614-U614</f>
        <v>525.8625</v>
      </c>
      <c r="W614" s="237">
        <f t="shared" si="70"/>
        <v>5025</v>
      </c>
    </row>
    <row r="615" spans="1:23" ht="31.5" customHeight="1">
      <c r="A615" s="240">
        <v>27</v>
      </c>
      <c r="B615" s="300" t="s">
        <v>298</v>
      </c>
      <c r="C615" s="301">
        <v>2332</v>
      </c>
      <c r="D615" s="300"/>
      <c r="E615" s="369">
        <v>1</v>
      </c>
      <c r="F615" s="387">
        <v>6567</v>
      </c>
      <c r="G615" s="487" t="s">
        <v>45</v>
      </c>
      <c r="H615" s="508">
        <f t="shared" si="71"/>
        <v>6567</v>
      </c>
      <c r="I615" s="508">
        <f aca="true" t="shared" si="72" ref="I615:I622">H615*10%</f>
        <v>656.7</v>
      </c>
      <c r="J615" s="248">
        <f>(H615+I615+M615)*20%</f>
        <v>1444.74</v>
      </c>
      <c r="K615" s="248">
        <f>(H615+I615+M615)*10%</f>
        <v>722.37</v>
      </c>
      <c r="L615" s="248"/>
      <c r="M615" s="248"/>
      <c r="N615" s="248"/>
      <c r="O615" s="248"/>
      <c r="P615" s="248"/>
      <c r="Q615" s="248"/>
      <c r="R615" s="248"/>
      <c r="S615" s="248"/>
      <c r="T615" s="330"/>
      <c r="U615" s="290"/>
      <c r="V615" s="388"/>
      <c r="W615" s="237">
        <f>H615+I615+J615+K615+L615+M615+N615+O615+P615+Q615+R615+S615+T615+U615+V615</f>
        <v>9390.810000000001</v>
      </c>
    </row>
    <row r="616" spans="1:23" ht="19.5" customHeight="1" hidden="1">
      <c r="A616" s="254">
        <v>34</v>
      </c>
      <c r="B616" s="309" t="s">
        <v>334</v>
      </c>
      <c r="C616" s="310"/>
      <c r="D616" s="309"/>
      <c r="E616" s="515"/>
      <c r="F616" s="516"/>
      <c r="G616" s="599" t="s">
        <v>45</v>
      </c>
      <c r="H616" s="600">
        <f t="shared" si="71"/>
        <v>0</v>
      </c>
      <c r="I616" s="600">
        <f t="shared" si="72"/>
        <v>0</v>
      </c>
      <c r="J616" s="316">
        <f>(H616+I616+M616)*20%</f>
        <v>0</v>
      </c>
      <c r="K616" s="316">
        <f>(H616+I616+M616)*10%</f>
        <v>0</v>
      </c>
      <c r="L616" s="316"/>
      <c r="M616" s="316"/>
      <c r="N616" s="316"/>
      <c r="O616" s="316"/>
      <c r="P616" s="316"/>
      <c r="Q616" s="316"/>
      <c r="R616" s="316"/>
      <c r="S616" s="316"/>
      <c r="T616" s="395"/>
      <c r="U616" s="518"/>
      <c r="V616" s="477"/>
      <c r="W616" s="315">
        <f t="shared" si="70"/>
        <v>0</v>
      </c>
    </row>
    <row r="617" spans="1:23" ht="31.5" customHeight="1">
      <c r="A617" s="240">
        <v>28</v>
      </c>
      <c r="B617" s="300" t="s">
        <v>365</v>
      </c>
      <c r="C617" s="301">
        <v>2332</v>
      </c>
      <c r="D617" s="300"/>
      <c r="E617" s="369">
        <v>2</v>
      </c>
      <c r="F617" s="387">
        <v>6133</v>
      </c>
      <c r="G617" s="487" t="s">
        <v>66</v>
      </c>
      <c r="H617" s="508">
        <f t="shared" si="71"/>
        <v>12266</v>
      </c>
      <c r="I617" s="508">
        <f t="shared" si="72"/>
        <v>1226.6000000000001</v>
      </c>
      <c r="J617" s="248">
        <v>2698.52</v>
      </c>
      <c r="K617" s="248">
        <v>1349.26</v>
      </c>
      <c r="L617" s="248"/>
      <c r="M617" s="248"/>
      <c r="N617" s="248"/>
      <c r="O617" s="248"/>
      <c r="P617" s="248"/>
      <c r="Q617" s="248"/>
      <c r="R617" s="248"/>
      <c r="S617" s="248"/>
      <c r="T617" s="330"/>
      <c r="U617" s="290"/>
      <c r="V617" s="388"/>
      <c r="W617" s="237">
        <f t="shared" si="70"/>
        <v>17540.38</v>
      </c>
    </row>
    <row r="618" spans="1:23" ht="33" customHeight="1">
      <c r="A618" s="240">
        <v>29</v>
      </c>
      <c r="B618" s="300" t="s">
        <v>223</v>
      </c>
      <c r="C618" s="221">
        <v>2332</v>
      </c>
      <c r="D618" s="267"/>
      <c r="E618" s="248">
        <v>1.25</v>
      </c>
      <c r="F618" s="387">
        <v>5699</v>
      </c>
      <c r="G618" s="487" t="s">
        <v>53</v>
      </c>
      <c r="H618" s="508">
        <f t="shared" si="71"/>
        <v>7123.75</v>
      </c>
      <c r="I618" s="508">
        <f t="shared" si="72"/>
        <v>712.375</v>
      </c>
      <c r="J618" s="248">
        <v>1410.5</v>
      </c>
      <c r="K618" s="248">
        <f>(H618+I618+M618+L618)*10%</f>
        <v>783.6125000000001</v>
      </c>
      <c r="L618" s="248"/>
      <c r="M618" s="248"/>
      <c r="N618" s="248"/>
      <c r="O618" s="248"/>
      <c r="P618" s="248"/>
      <c r="Q618" s="248"/>
      <c r="R618" s="248"/>
      <c r="S618" s="248"/>
      <c r="T618" s="330"/>
      <c r="U618" s="290"/>
      <c r="V618" s="388"/>
      <c r="W618" s="237">
        <f t="shared" si="70"/>
        <v>10030.2375</v>
      </c>
    </row>
    <row r="619" spans="1:23" ht="27" customHeight="1" hidden="1">
      <c r="A619" s="240">
        <v>36</v>
      </c>
      <c r="B619" s="266"/>
      <c r="C619" s="394"/>
      <c r="D619" s="266"/>
      <c r="E619" s="316"/>
      <c r="F619" s="516"/>
      <c r="G619" s="599"/>
      <c r="H619" s="600"/>
      <c r="I619" s="600"/>
      <c r="J619" s="316"/>
      <c r="K619" s="316"/>
      <c r="L619" s="316"/>
      <c r="M619" s="316"/>
      <c r="N619" s="316"/>
      <c r="O619" s="316"/>
      <c r="P619" s="316"/>
      <c r="Q619" s="316"/>
      <c r="R619" s="316"/>
      <c r="S619" s="316"/>
      <c r="T619" s="395"/>
      <c r="U619" s="518"/>
      <c r="V619" s="477"/>
      <c r="W619" s="315">
        <f t="shared" si="70"/>
        <v>0</v>
      </c>
    </row>
    <row r="620" spans="1:23" ht="17.25" customHeight="1" hidden="1">
      <c r="A620" s="240">
        <v>37</v>
      </c>
      <c r="B620" s="309"/>
      <c r="C620" s="310"/>
      <c r="D620" s="309"/>
      <c r="E620" s="515"/>
      <c r="F620" s="516"/>
      <c r="G620" s="517"/>
      <c r="H620" s="600"/>
      <c r="I620" s="600"/>
      <c r="J620" s="316"/>
      <c r="K620" s="316"/>
      <c r="L620" s="316"/>
      <c r="M620" s="316"/>
      <c r="N620" s="316"/>
      <c r="O620" s="316"/>
      <c r="P620" s="316"/>
      <c r="Q620" s="316"/>
      <c r="R620" s="316"/>
      <c r="S620" s="316"/>
      <c r="T620" s="395"/>
      <c r="U620" s="518"/>
      <c r="V620" s="477"/>
      <c r="W620" s="315">
        <f t="shared" si="70"/>
        <v>0</v>
      </c>
    </row>
    <row r="621" spans="1:23" ht="18" customHeight="1" hidden="1">
      <c r="A621" s="240">
        <v>38</v>
      </c>
      <c r="B621" s="309"/>
      <c r="C621" s="310"/>
      <c r="D621" s="309"/>
      <c r="E621" s="515"/>
      <c r="F621" s="516"/>
      <c r="G621" s="517"/>
      <c r="H621" s="600"/>
      <c r="I621" s="600"/>
      <c r="J621" s="316"/>
      <c r="K621" s="316"/>
      <c r="L621" s="316"/>
      <c r="M621" s="316"/>
      <c r="N621" s="316"/>
      <c r="O621" s="316"/>
      <c r="P621" s="316"/>
      <c r="Q621" s="316"/>
      <c r="R621" s="316"/>
      <c r="S621" s="316"/>
      <c r="T621" s="395"/>
      <c r="U621" s="518"/>
      <c r="V621" s="477"/>
      <c r="W621" s="315">
        <f t="shared" si="70"/>
        <v>0</v>
      </c>
    </row>
    <row r="622" spans="1:23" ht="18" customHeight="1" hidden="1">
      <c r="A622" s="240">
        <v>29</v>
      </c>
      <c r="B622" s="625"/>
      <c r="C622" s="626"/>
      <c r="D622" s="625"/>
      <c r="E622" s="627"/>
      <c r="F622" s="516">
        <v>5265</v>
      </c>
      <c r="G622" s="517">
        <v>10</v>
      </c>
      <c r="H622" s="600">
        <f t="shared" si="71"/>
        <v>0</v>
      </c>
      <c r="I622" s="600">
        <f t="shared" si="72"/>
        <v>0</v>
      </c>
      <c r="J622" s="316"/>
      <c r="K622" s="316">
        <v>631.8</v>
      </c>
      <c r="L622" s="316">
        <v>526.5</v>
      </c>
      <c r="M622" s="316"/>
      <c r="N622" s="316"/>
      <c r="O622" s="316"/>
      <c r="P622" s="316"/>
      <c r="Q622" s="316"/>
      <c r="R622" s="316"/>
      <c r="S622" s="316"/>
      <c r="T622" s="395"/>
      <c r="U622" s="518"/>
      <c r="V622" s="477"/>
      <c r="W622" s="315">
        <f t="shared" si="70"/>
        <v>1158.3</v>
      </c>
    </row>
    <row r="623" spans="1:23" ht="18" customHeight="1">
      <c r="A623" s="240">
        <v>30</v>
      </c>
      <c r="B623" s="300" t="s">
        <v>366</v>
      </c>
      <c r="C623" s="301">
        <v>1239</v>
      </c>
      <c r="D623" s="300"/>
      <c r="E623" s="369">
        <v>0.5</v>
      </c>
      <c r="F623" s="387">
        <v>4775</v>
      </c>
      <c r="G623" s="286">
        <v>8</v>
      </c>
      <c r="H623" s="508">
        <f t="shared" si="71"/>
        <v>2387.5</v>
      </c>
      <c r="I623" s="50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330"/>
      <c r="U623" s="290">
        <f>H623*50%</f>
        <v>1193.75</v>
      </c>
      <c r="V623" s="388"/>
      <c r="W623" s="237">
        <f t="shared" si="70"/>
        <v>3581.25</v>
      </c>
    </row>
    <row r="624" spans="1:23" ht="30.75" customHeight="1">
      <c r="A624" s="240">
        <v>31</v>
      </c>
      <c r="B624" s="267" t="s">
        <v>300</v>
      </c>
      <c r="C624" s="221">
        <v>5131</v>
      </c>
      <c r="D624" s="267"/>
      <c r="E624" s="248">
        <v>1.25</v>
      </c>
      <c r="F624" s="387">
        <v>4195</v>
      </c>
      <c r="G624" s="286">
        <v>6</v>
      </c>
      <c r="H624" s="431">
        <f t="shared" si="71"/>
        <v>5243.75</v>
      </c>
      <c r="I624" s="250"/>
      <c r="J624" s="248"/>
      <c r="K624" s="248"/>
      <c r="L624" s="248"/>
      <c r="M624" s="248"/>
      <c r="N624" s="248"/>
      <c r="O624" s="248"/>
      <c r="P624" s="248"/>
      <c r="Q624" s="248"/>
      <c r="R624" s="248"/>
      <c r="S624" s="248">
        <f>F624*10%</f>
        <v>419.5</v>
      </c>
      <c r="T624" s="330"/>
      <c r="U624" s="290"/>
      <c r="V624" s="388">
        <f>6700*E624-H624-I624-J624-K624-L624-M624-N624-O624-P624-Q624-U624</f>
        <v>3131.25</v>
      </c>
      <c r="W624" s="237">
        <f t="shared" si="70"/>
        <v>8794.5</v>
      </c>
    </row>
    <row r="625" spans="1:23" ht="31.5" customHeight="1">
      <c r="A625" s="240">
        <v>32</v>
      </c>
      <c r="B625" s="267" t="s">
        <v>301</v>
      </c>
      <c r="C625" s="221">
        <v>5131</v>
      </c>
      <c r="D625" s="267"/>
      <c r="E625" s="248">
        <v>1.25</v>
      </c>
      <c r="F625" s="387">
        <v>4195</v>
      </c>
      <c r="G625" s="286">
        <v>6</v>
      </c>
      <c r="H625" s="431">
        <f t="shared" si="71"/>
        <v>5243.75</v>
      </c>
      <c r="I625" s="250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>
        <f>F625*10%</f>
        <v>419.5</v>
      </c>
      <c r="T625" s="330"/>
      <c r="U625" s="290"/>
      <c r="V625" s="388">
        <f aca="true" t="shared" si="73" ref="V625:V633">6700*E625-H625-I625-J625-K625-L625-M625-N625-O625-P625-Q625-U625</f>
        <v>3131.25</v>
      </c>
      <c r="W625" s="237">
        <f t="shared" si="70"/>
        <v>8794.5</v>
      </c>
    </row>
    <row r="626" spans="1:23" ht="31.5" customHeight="1">
      <c r="A626" s="240"/>
      <c r="B626" s="300" t="s">
        <v>8</v>
      </c>
      <c r="C626" s="301">
        <v>5122</v>
      </c>
      <c r="D626" s="300"/>
      <c r="E626" s="248">
        <v>1</v>
      </c>
      <c r="F626" s="387">
        <v>3674</v>
      </c>
      <c r="G626" s="286">
        <v>4</v>
      </c>
      <c r="H626" s="431">
        <f t="shared" si="71"/>
        <v>3674</v>
      </c>
      <c r="I626" s="250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>
        <f>F626*10%</f>
        <v>367.40000000000003</v>
      </c>
      <c r="T626" s="330"/>
      <c r="U626" s="290"/>
      <c r="V626" s="388">
        <f t="shared" si="73"/>
        <v>3026</v>
      </c>
      <c r="W626" s="237">
        <f t="shared" si="70"/>
        <v>7067.4</v>
      </c>
    </row>
    <row r="627" spans="1:23" ht="17.25" customHeight="1">
      <c r="A627" s="240">
        <v>33</v>
      </c>
      <c r="B627" s="300" t="s">
        <v>8</v>
      </c>
      <c r="C627" s="301">
        <v>5122</v>
      </c>
      <c r="D627" s="300"/>
      <c r="E627" s="369">
        <v>0.5</v>
      </c>
      <c r="F627" s="387">
        <v>3414</v>
      </c>
      <c r="G627" s="286">
        <v>3</v>
      </c>
      <c r="H627" s="431">
        <f t="shared" si="71"/>
        <v>1707</v>
      </c>
      <c r="I627" s="250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>
        <f>F627*10%*0.5</f>
        <v>170.70000000000002</v>
      </c>
      <c r="T627" s="330"/>
      <c r="U627" s="290"/>
      <c r="V627" s="388">
        <f t="shared" si="73"/>
        <v>1643</v>
      </c>
      <c r="W627" s="237">
        <f t="shared" si="70"/>
        <v>3520.7</v>
      </c>
    </row>
    <row r="628" spans="1:23" ht="22.5" customHeight="1">
      <c r="A628" s="240">
        <v>34</v>
      </c>
      <c r="B628" s="267" t="s">
        <v>128</v>
      </c>
      <c r="C628" s="221">
        <v>9132</v>
      </c>
      <c r="D628" s="300"/>
      <c r="E628" s="369">
        <v>0.5</v>
      </c>
      <c r="F628" s="387">
        <v>2863</v>
      </c>
      <c r="G628" s="286">
        <v>1</v>
      </c>
      <c r="H628" s="431">
        <f t="shared" si="71"/>
        <v>1431.5</v>
      </c>
      <c r="I628" s="250"/>
      <c r="J628" s="248"/>
      <c r="K628" s="248"/>
      <c r="L628" s="248"/>
      <c r="M628" s="248"/>
      <c r="N628" s="248"/>
      <c r="O628" s="248"/>
      <c r="P628" s="248"/>
      <c r="Q628" s="248"/>
      <c r="R628" s="248"/>
      <c r="S628" s="248">
        <f>F628*10%*0.5</f>
        <v>143.15</v>
      </c>
      <c r="T628" s="330"/>
      <c r="U628" s="290"/>
      <c r="V628" s="388">
        <f t="shared" si="73"/>
        <v>1918.5</v>
      </c>
      <c r="W628" s="237">
        <f t="shared" si="70"/>
        <v>3493.15</v>
      </c>
    </row>
    <row r="629" spans="1:23" ht="39" customHeight="1">
      <c r="A629" s="240">
        <v>35</v>
      </c>
      <c r="B629" s="267" t="s">
        <v>367</v>
      </c>
      <c r="C629" s="221">
        <v>7129</v>
      </c>
      <c r="D629" s="267"/>
      <c r="E629" s="481">
        <v>0.5</v>
      </c>
      <c r="F629" s="452">
        <v>3674</v>
      </c>
      <c r="G629" s="286">
        <v>4</v>
      </c>
      <c r="H629" s="431">
        <f t="shared" si="71"/>
        <v>1837</v>
      </c>
      <c r="I629" s="250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330"/>
      <c r="U629" s="290"/>
      <c r="V629" s="388">
        <f t="shared" si="73"/>
        <v>1513</v>
      </c>
      <c r="W629" s="237">
        <f t="shared" si="70"/>
        <v>3350</v>
      </c>
    </row>
    <row r="630" spans="1:23" ht="37.5" customHeight="1">
      <c r="A630" s="240">
        <v>36</v>
      </c>
      <c r="B630" s="267" t="s">
        <v>24</v>
      </c>
      <c r="C630" s="221">
        <v>8264</v>
      </c>
      <c r="D630" s="267"/>
      <c r="E630" s="391">
        <v>0.5</v>
      </c>
      <c r="F630" s="452">
        <v>3153</v>
      </c>
      <c r="G630" s="286">
        <v>2</v>
      </c>
      <c r="H630" s="431">
        <f t="shared" si="71"/>
        <v>1576.5</v>
      </c>
      <c r="I630" s="250"/>
      <c r="J630" s="248"/>
      <c r="K630" s="248"/>
      <c r="L630" s="248"/>
      <c r="M630" s="248"/>
      <c r="N630" s="248"/>
      <c r="O630" s="248"/>
      <c r="P630" s="248"/>
      <c r="Q630" s="248"/>
      <c r="R630" s="248"/>
      <c r="S630" s="248"/>
      <c r="T630" s="330"/>
      <c r="U630" s="290"/>
      <c r="V630" s="388">
        <f t="shared" si="73"/>
        <v>1773.5</v>
      </c>
      <c r="W630" s="237">
        <f t="shared" si="70"/>
        <v>3350</v>
      </c>
    </row>
    <row r="631" spans="1:23" ht="22.5" customHeight="1">
      <c r="A631" s="240">
        <v>37</v>
      </c>
      <c r="B631" s="267" t="s">
        <v>368</v>
      </c>
      <c r="C631" s="221">
        <v>9132</v>
      </c>
      <c r="D631" s="267"/>
      <c r="E631" s="248">
        <v>0.25</v>
      </c>
      <c r="F631" s="387">
        <v>3153</v>
      </c>
      <c r="G631" s="286">
        <v>2</v>
      </c>
      <c r="H631" s="431">
        <f t="shared" si="71"/>
        <v>788.25</v>
      </c>
      <c r="I631" s="250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330"/>
      <c r="U631" s="290"/>
      <c r="V631" s="388">
        <f>6700*E631-H631-I631-J631-K631-L631-M631-N631-O631-P631-Q631-U631</f>
        <v>886.75</v>
      </c>
      <c r="W631" s="237">
        <f t="shared" si="70"/>
        <v>1675</v>
      </c>
    </row>
    <row r="632" spans="1:23" ht="22.5" customHeight="1">
      <c r="A632" s="240">
        <v>38</v>
      </c>
      <c r="B632" s="267" t="s">
        <v>10</v>
      </c>
      <c r="C632" s="221">
        <v>9152</v>
      </c>
      <c r="D632" s="267"/>
      <c r="E632" s="248">
        <v>2</v>
      </c>
      <c r="F632" s="387">
        <v>3153</v>
      </c>
      <c r="G632" s="286">
        <v>2</v>
      </c>
      <c r="H632" s="431">
        <f t="shared" si="71"/>
        <v>6306</v>
      </c>
      <c r="I632" s="250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90">
        <f>E632*F632*40%</f>
        <v>2522.4</v>
      </c>
      <c r="U632" s="290"/>
      <c r="V632" s="388">
        <f t="shared" si="73"/>
        <v>7094</v>
      </c>
      <c r="W632" s="237">
        <f t="shared" si="70"/>
        <v>15922.4</v>
      </c>
    </row>
    <row r="633" spans="1:23" ht="19.5" customHeight="1">
      <c r="A633" s="240">
        <v>39</v>
      </c>
      <c r="B633" s="267" t="s">
        <v>250</v>
      </c>
      <c r="C633" s="221">
        <v>9132</v>
      </c>
      <c r="D633" s="267"/>
      <c r="E633" s="369">
        <v>0.5</v>
      </c>
      <c r="F633" s="387">
        <v>3153</v>
      </c>
      <c r="G633" s="286">
        <v>2</v>
      </c>
      <c r="H633" s="431">
        <f t="shared" si="71"/>
        <v>1576.5</v>
      </c>
      <c r="I633" s="250"/>
      <c r="J633" s="248"/>
      <c r="K633" s="248"/>
      <c r="L633" s="248"/>
      <c r="M633" s="248"/>
      <c r="N633" s="248"/>
      <c r="O633" s="248"/>
      <c r="P633" s="248"/>
      <c r="Q633" s="248"/>
      <c r="R633" s="248"/>
      <c r="S633" s="248">
        <f>F633*10%</f>
        <v>315.3</v>
      </c>
      <c r="T633" s="290"/>
      <c r="U633" s="290"/>
      <c r="V633" s="388">
        <f t="shared" si="73"/>
        <v>1773.5</v>
      </c>
      <c r="W633" s="237">
        <f t="shared" si="70"/>
        <v>3665.3</v>
      </c>
    </row>
    <row r="634" spans="1:23" ht="20.25" customHeight="1">
      <c r="A634" s="240">
        <v>40</v>
      </c>
      <c r="B634" s="300" t="s">
        <v>369</v>
      </c>
      <c r="C634" s="301">
        <v>8162</v>
      </c>
      <c r="D634" s="300"/>
      <c r="E634" s="369">
        <v>4</v>
      </c>
      <c r="F634" s="387">
        <v>3153</v>
      </c>
      <c r="G634" s="286">
        <v>2</v>
      </c>
      <c r="H634" s="431">
        <f t="shared" si="71"/>
        <v>12612</v>
      </c>
      <c r="I634" s="250"/>
      <c r="J634" s="248"/>
      <c r="K634" s="248"/>
      <c r="L634" s="248"/>
      <c r="M634" s="248"/>
      <c r="N634" s="248"/>
      <c r="O634" s="248"/>
      <c r="P634" s="248"/>
      <c r="Q634" s="248"/>
      <c r="R634" s="248"/>
      <c r="S634" s="248"/>
      <c r="T634" s="290">
        <f>E634*F634*40%</f>
        <v>5044.8</v>
      </c>
      <c r="U634" s="290"/>
      <c r="V634" s="388">
        <f>6700*E634-H634-I634-J634-K634-L634-M634-N634-O634-P634-Q634-U634</f>
        <v>14188</v>
      </c>
      <c r="W634" s="237">
        <f t="shared" si="70"/>
        <v>31844.8</v>
      </c>
    </row>
    <row r="635" spans="1:23" ht="13.5" hidden="1">
      <c r="A635" s="240"/>
      <c r="B635" s="267"/>
      <c r="C635" s="221"/>
      <c r="D635" s="267"/>
      <c r="E635" s="248"/>
      <c r="F635" s="387"/>
      <c r="G635" s="286"/>
      <c r="H635" s="286"/>
      <c r="I635" s="286"/>
      <c r="J635" s="248"/>
      <c r="K635" s="248"/>
      <c r="L635" s="248"/>
      <c r="M635" s="248"/>
      <c r="N635" s="248"/>
      <c r="O635" s="248"/>
      <c r="P635" s="248"/>
      <c r="Q635" s="248"/>
      <c r="R635" s="248"/>
      <c r="S635" s="248"/>
      <c r="T635" s="330"/>
      <c r="U635" s="290"/>
      <c r="V635" s="237">
        <f>F635*E635+J635+K635+L635+M635+R635+S635+T635+U635</f>
        <v>0</v>
      </c>
      <c r="W635" s="388">
        <f>3200*E635-(V635-S635-T635-U635)</f>
        <v>0</v>
      </c>
    </row>
    <row r="636" spans="1:23" ht="19.5" customHeight="1">
      <c r="A636" s="453"/>
      <c r="B636" s="303" t="s">
        <v>6</v>
      </c>
      <c r="C636" s="302"/>
      <c r="D636" s="303"/>
      <c r="E636" s="248">
        <f>E591+E592+E594+E595+E596+E597+E599+E600+E601+E603+E604+E605+E606+E607+E609+E610+E611+E613+E614+E618+E619+E620+E621+E624+E625+E627+E628+E629+E630+E631+E632+E633+E634+E598+E612+E616+E617+E615+E622+E623+E602+E626</f>
        <v>81.05</v>
      </c>
      <c r="F636" s="248"/>
      <c r="G636" s="248"/>
      <c r="H636" s="248">
        <f aca="true" t="shared" si="74" ref="H636:U636">H591+H592+H594+H595+H596+H597+H599+H600+H601+H603+H604+H605+H606+H607+H609+H610+H611+H613+H614+H618+H619+H620+H621+H624+H625+H627+H628+H629+H630+H631+H632+H633+H634+H598+H612+H616+H617+H615+H622+H623+H602+H626</f>
        <v>427132.825</v>
      </c>
      <c r="I636" s="248">
        <f t="shared" si="74"/>
        <v>30262.582500000004</v>
      </c>
      <c r="J636" s="248">
        <f t="shared" si="74"/>
        <v>72362.125</v>
      </c>
      <c r="K636" s="248">
        <f t="shared" si="74"/>
        <v>52719.17250000001</v>
      </c>
      <c r="L636" s="248">
        <f t="shared" si="74"/>
        <v>3159</v>
      </c>
      <c r="M636" s="248">
        <f t="shared" si="74"/>
        <v>314.625</v>
      </c>
      <c r="N636" s="248">
        <f t="shared" si="74"/>
        <v>0</v>
      </c>
      <c r="O636" s="248">
        <f t="shared" si="74"/>
        <v>13697.29</v>
      </c>
      <c r="P636" s="248">
        <f t="shared" si="74"/>
        <v>20255</v>
      </c>
      <c r="Q636" s="248">
        <f t="shared" si="74"/>
        <v>2346.61</v>
      </c>
      <c r="R636" s="248">
        <f t="shared" si="74"/>
        <v>0</v>
      </c>
      <c r="S636" s="248">
        <f t="shared" si="74"/>
        <v>4357.95</v>
      </c>
      <c r="T636" s="248">
        <f t="shared" si="74"/>
        <v>11350.8</v>
      </c>
      <c r="U636" s="248">
        <f t="shared" si="74"/>
        <v>5219.549999999999</v>
      </c>
      <c r="V636" s="248">
        <f>V591+V592+V594+V595+V596+V597+V599+V600+V601+V603+V604+V605+V606+V607+V609+V610+V611+V613+V614+V618+V619+V620+V621+V624+V625+V627+V628+V629+V630+V631+V632+V633+V634+V598+V612+V616+V617+V615+V622+V623+V602+V626</f>
        <v>103568.8125</v>
      </c>
      <c r="W636" s="248">
        <f>W591+W592+W594+W595+W596+W597+W599+W600+W601+W603+W604+W605+W606+W607+W609+W610+W611+W613+W614+W618+W619+W620+W621+W624+W625+W627+W628+W629+W630+W631+W632+W633+W634+W598+W612+W616+W617+W615+W622+W623+W602+W626</f>
        <v>746746.3425000001</v>
      </c>
    </row>
    <row r="637" ht="13.5" hidden="1">
      <c r="H637" s="628"/>
    </row>
    <row r="638" spans="2:4" ht="13.5" hidden="1">
      <c r="B638" s="349"/>
      <c r="C638" s="458"/>
      <c r="D638" s="349"/>
    </row>
    <row r="639" spans="2:4" ht="13.5">
      <c r="B639" s="349"/>
      <c r="C639" s="458"/>
      <c r="D639" s="349"/>
    </row>
    <row r="640" spans="1:23" ht="18" customHeight="1">
      <c r="A640" s="197"/>
      <c r="B640" s="341"/>
      <c r="C640" s="342"/>
      <c r="D640" s="341"/>
      <c r="E640" s="343"/>
      <c r="F640" s="214" t="s">
        <v>169</v>
      </c>
      <c r="G640" s="344"/>
      <c r="H640" s="344"/>
      <c r="I640" s="344"/>
      <c r="J640" s="345"/>
      <c r="K640" s="346"/>
      <c r="L640" s="346"/>
      <c r="M640" s="346"/>
      <c r="N640" s="346"/>
      <c r="O640" s="346"/>
      <c r="P640" s="346"/>
      <c r="Q640" s="346"/>
      <c r="R640" s="346" t="s">
        <v>170</v>
      </c>
      <c r="S640" s="346"/>
      <c r="T640" s="340"/>
      <c r="U640" s="340"/>
      <c r="V640" s="340"/>
      <c r="W640" s="340"/>
    </row>
    <row r="642" spans="1:23" ht="18" customHeight="1">
      <c r="A642" s="197"/>
      <c r="B642" s="341"/>
      <c r="C642" s="342"/>
      <c r="D642" s="341"/>
      <c r="E642" s="343"/>
      <c r="F642" s="214" t="s">
        <v>234</v>
      </c>
      <c r="G642" s="344"/>
      <c r="H642" s="344"/>
      <c r="I642" s="344"/>
      <c r="J642" s="345"/>
      <c r="K642" s="346"/>
      <c r="L642" s="346"/>
      <c r="M642" s="346"/>
      <c r="N642" s="346"/>
      <c r="O642" s="346"/>
      <c r="P642" s="346"/>
      <c r="Q642" s="346"/>
      <c r="R642" s="346" t="s">
        <v>167</v>
      </c>
      <c r="S642" s="346"/>
      <c r="T642" s="340"/>
      <c r="U642" s="340"/>
      <c r="V642" s="340"/>
      <c r="W642" s="340"/>
    </row>
  </sheetData>
  <sheetProtection/>
  <mergeCells count="275">
    <mergeCell ref="G577:G578"/>
    <mergeCell ref="B608:V608"/>
    <mergeCell ref="O571:O574"/>
    <mergeCell ref="P571:P574"/>
    <mergeCell ref="Q571:Q574"/>
    <mergeCell ref="R571:R574"/>
    <mergeCell ref="S571:S574"/>
    <mergeCell ref="T571:T574"/>
    <mergeCell ref="H570:H574"/>
    <mergeCell ref="I570:I574"/>
    <mergeCell ref="J570:M570"/>
    <mergeCell ref="O570:U570"/>
    <mergeCell ref="V570:V574"/>
    <mergeCell ref="W570:W574"/>
    <mergeCell ref="J571:J574"/>
    <mergeCell ref="K571:K574"/>
    <mergeCell ref="L571:L574"/>
    <mergeCell ref="M571:M574"/>
    <mergeCell ref="U571:U574"/>
    <mergeCell ref="R558:W558"/>
    <mergeCell ref="R559:T559"/>
    <mergeCell ref="R560:W560"/>
    <mergeCell ref="A565:Q565"/>
    <mergeCell ref="A566:Q566"/>
    <mergeCell ref="A570:A572"/>
    <mergeCell ref="C570:C574"/>
    <mergeCell ref="D570:D574"/>
    <mergeCell ref="F570:F574"/>
    <mergeCell ref="G570:G574"/>
    <mergeCell ref="P509:P512"/>
    <mergeCell ref="Q509:Q512"/>
    <mergeCell ref="R509:R512"/>
    <mergeCell ref="S509:S512"/>
    <mergeCell ref="T509:T512"/>
    <mergeCell ref="U509:U512"/>
    <mergeCell ref="J508:M508"/>
    <mergeCell ref="O508:U508"/>
    <mergeCell ref="V508:V512"/>
    <mergeCell ref="W508:W512"/>
    <mergeCell ref="J509:J512"/>
    <mergeCell ref="K509:K512"/>
    <mergeCell ref="L509:L512"/>
    <mergeCell ref="M509:M512"/>
    <mergeCell ref="N509:N512"/>
    <mergeCell ref="O509:O512"/>
    <mergeCell ref="B502:P502"/>
    <mergeCell ref="B503:P503"/>
    <mergeCell ref="B504:N504"/>
    <mergeCell ref="A508:A510"/>
    <mergeCell ref="C508:C512"/>
    <mergeCell ref="D508:D512"/>
    <mergeCell ref="F508:F512"/>
    <mergeCell ref="G508:G512"/>
    <mergeCell ref="H508:H512"/>
    <mergeCell ref="I508:I512"/>
    <mergeCell ref="B461:V461"/>
    <mergeCell ref="R495:T495"/>
    <mergeCell ref="R496:V496"/>
    <mergeCell ref="R497:V497"/>
    <mergeCell ref="R498:V498"/>
    <mergeCell ref="R499:W499"/>
    <mergeCell ref="Q425:Q428"/>
    <mergeCell ref="R425:R428"/>
    <mergeCell ref="S425:S428"/>
    <mergeCell ref="T425:T428"/>
    <mergeCell ref="U425:U428"/>
    <mergeCell ref="G431:G432"/>
    <mergeCell ref="J424:M424"/>
    <mergeCell ref="O424:U424"/>
    <mergeCell ref="V424:V428"/>
    <mergeCell ref="W424:W428"/>
    <mergeCell ref="J425:J428"/>
    <mergeCell ref="K425:K428"/>
    <mergeCell ref="L425:L428"/>
    <mergeCell ref="M425:M428"/>
    <mergeCell ref="O425:O428"/>
    <mergeCell ref="P425:P428"/>
    <mergeCell ref="A419:Q419"/>
    <mergeCell ref="A420:Q420"/>
    <mergeCell ref="I422:J422"/>
    <mergeCell ref="A424:A428"/>
    <mergeCell ref="C424:C428"/>
    <mergeCell ref="D424:D428"/>
    <mergeCell ref="F424:F428"/>
    <mergeCell ref="G424:G428"/>
    <mergeCell ref="H424:H428"/>
    <mergeCell ref="I424:I428"/>
    <mergeCell ref="R412:V412"/>
    <mergeCell ref="R413:V413"/>
    <mergeCell ref="R414:V414"/>
    <mergeCell ref="R415:W415"/>
    <mergeCell ref="O339:O342"/>
    <mergeCell ref="P339:P342"/>
    <mergeCell ref="Q339:Q342"/>
    <mergeCell ref="R339:R342"/>
    <mergeCell ref="I338:I342"/>
    <mergeCell ref="J338:M338"/>
    <mergeCell ref="O338:U338"/>
    <mergeCell ref="V338:V342"/>
    <mergeCell ref="U339:U342"/>
    <mergeCell ref="G344:G345"/>
    <mergeCell ref="W338:W342"/>
    <mergeCell ref="J339:J342"/>
    <mergeCell ref="K339:K342"/>
    <mergeCell ref="L339:L342"/>
    <mergeCell ref="M339:M342"/>
    <mergeCell ref="N339:N342"/>
    <mergeCell ref="S339:S342"/>
    <mergeCell ref="T339:T342"/>
    <mergeCell ref="A338:A340"/>
    <mergeCell ref="C338:C342"/>
    <mergeCell ref="D338:D342"/>
    <mergeCell ref="F338:F342"/>
    <mergeCell ref="G338:G342"/>
    <mergeCell ref="H338:H342"/>
    <mergeCell ref="B330:G330"/>
    <mergeCell ref="R331:W331"/>
    <mergeCell ref="B332:L332"/>
    <mergeCell ref="B333:O333"/>
    <mergeCell ref="B334:M334"/>
    <mergeCell ref="B336:F336"/>
    <mergeCell ref="P286:P289"/>
    <mergeCell ref="Q286:Q289"/>
    <mergeCell ref="R286:R289"/>
    <mergeCell ref="R325:V325"/>
    <mergeCell ref="R326:V326"/>
    <mergeCell ref="R327:V327"/>
    <mergeCell ref="I285:I289"/>
    <mergeCell ref="J285:M285"/>
    <mergeCell ref="S285:S289"/>
    <mergeCell ref="T285:T289"/>
    <mergeCell ref="U285:U289"/>
    <mergeCell ref="J286:J289"/>
    <mergeCell ref="K286:K289"/>
    <mergeCell ref="L286:L289"/>
    <mergeCell ref="M286:M289"/>
    <mergeCell ref="O286:O289"/>
    <mergeCell ref="O277:T277"/>
    <mergeCell ref="B279:L279"/>
    <mergeCell ref="A280:P280"/>
    <mergeCell ref="I283:J283"/>
    <mergeCell ref="A285:A289"/>
    <mergeCell ref="C285:C289"/>
    <mergeCell ref="D285:D289"/>
    <mergeCell ref="F285:F289"/>
    <mergeCell ref="G285:G289"/>
    <mergeCell ref="H285:H289"/>
    <mergeCell ref="P235:P238"/>
    <mergeCell ref="Q235:Q238"/>
    <mergeCell ref="R235:R238"/>
    <mergeCell ref="S235:S238"/>
    <mergeCell ref="T235:T238"/>
    <mergeCell ref="U235:U238"/>
    <mergeCell ref="I234:I238"/>
    <mergeCell ref="J234:M234"/>
    <mergeCell ref="O234:U234"/>
    <mergeCell ref="V234:V238"/>
    <mergeCell ref="W234:W238"/>
    <mergeCell ref="J235:J238"/>
    <mergeCell ref="K235:K238"/>
    <mergeCell ref="L235:L238"/>
    <mergeCell ref="M235:M238"/>
    <mergeCell ref="O235:O238"/>
    <mergeCell ref="A234:A238"/>
    <mergeCell ref="C234:C238"/>
    <mergeCell ref="D234:D238"/>
    <mergeCell ref="F234:F238"/>
    <mergeCell ref="G234:G238"/>
    <mergeCell ref="H234:H238"/>
    <mergeCell ref="R223:V223"/>
    <mergeCell ref="R224:V224"/>
    <mergeCell ref="R225:V225"/>
    <mergeCell ref="R226:W226"/>
    <mergeCell ref="B228:L228"/>
    <mergeCell ref="A229:P229"/>
    <mergeCell ref="Q184:Q187"/>
    <mergeCell ref="R184:R187"/>
    <mergeCell ref="S184:S187"/>
    <mergeCell ref="T184:T187"/>
    <mergeCell ref="U184:U187"/>
    <mergeCell ref="R222:T222"/>
    <mergeCell ref="O183:T183"/>
    <mergeCell ref="V183:V187"/>
    <mergeCell ref="W183:W187"/>
    <mergeCell ref="J184:J187"/>
    <mergeCell ref="K184:K187"/>
    <mergeCell ref="L184:L187"/>
    <mergeCell ref="M184:M187"/>
    <mergeCell ref="N184:N187"/>
    <mergeCell ref="O184:O187"/>
    <mergeCell ref="P184:P187"/>
    <mergeCell ref="A172:Q172"/>
    <mergeCell ref="A173:Q173"/>
    <mergeCell ref="A183:A187"/>
    <mergeCell ref="B183:B187"/>
    <mergeCell ref="C183:C187"/>
    <mergeCell ref="D183:D187"/>
    <mergeCell ref="F183:F187"/>
    <mergeCell ref="G183:G187"/>
    <mergeCell ref="H183:H187"/>
    <mergeCell ref="I183:I187"/>
    <mergeCell ref="G128:G129"/>
    <mergeCell ref="T163:V163"/>
    <mergeCell ref="R164:V164"/>
    <mergeCell ref="R165:V165"/>
    <mergeCell ref="R166:V166"/>
    <mergeCell ref="R167:W167"/>
    <mergeCell ref="Q123:Q126"/>
    <mergeCell ref="R123:R126"/>
    <mergeCell ref="S123:S126"/>
    <mergeCell ref="T123:T126"/>
    <mergeCell ref="U123:U126"/>
    <mergeCell ref="A128:A129"/>
    <mergeCell ref="B128:B129"/>
    <mergeCell ref="C128:C129"/>
    <mergeCell ref="E128:E129"/>
    <mergeCell ref="F128:F129"/>
    <mergeCell ref="O122:T122"/>
    <mergeCell ref="V122:V126"/>
    <mergeCell ref="W122:W126"/>
    <mergeCell ref="J123:J126"/>
    <mergeCell ref="K123:K126"/>
    <mergeCell ref="L123:L126"/>
    <mergeCell ref="M123:M126"/>
    <mergeCell ref="N123:N126"/>
    <mergeCell ref="O123:O126"/>
    <mergeCell ref="P123:P126"/>
    <mergeCell ref="B118:M118"/>
    <mergeCell ref="B119:M119"/>
    <mergeCell ref="B120:M120"/>
    <mergeCell ref="A122:A126"/>
    <mergeCell ref="C122:C126"/>
    <mergeCell ref="D122:D126"/>
    <mergeCell ref="F122:F126"/>
    <mergeCell ref="G122:G126"/>
    <mergeCell ref="H122:H126"/>
    <mergeCell ref="I122:I126"/>
    <mergeCell ref="B83:W83"/>
    <mergeCell ref="S112:U112"/>
    <mergeCell ref="R113:V113"/>
    <mergeCell ref="R114:V114"/>
    <mergeCell ref="R115:V115"/>
    <mergeCell ref="R116:W116"/>
    <mergeCell ref="Q14:Q17"/>
    <mergeCell ref="R14:R17"/>
    <mergeCell ref="S14:S17"/>
    <mergeCell ref="T14:T17"/>
    <mergeCell ref="U14:U17"/>
    <mergeCell ref="B49:W49"/>
    <mergeCell ref="O13:T13"/>
    <mergeCell ref="V13:V17"/>
    <mergeCell ref="W13:W17"/>
    <mergeCell ref="J14:J17"/>
    <mergeCell ref="K14:K17"/>
    <mergeCell ref="L14:L17"/>
    <mergeCell ref="M14:M17"/>
    <mergeCell ref="N14:N17"/>
    <mergeCell ref="O14:O17"/>
    <mergeCell ref="P14:P17"/>
    <mergeCell ref="B8:M8"/>
    <mergeCell ref="B9:J9"/>
    <mergeCell ref="A13:A15"/>
    <mergeCell ref="C13:C17"/>
    <mergeCell ref="D13:D17"/>
    <mergeCell ref="F13:F17"/>
    <mergeCell ref="G13:G17"/>
    <mergeCell ref="H13:H17"/>
    <mergeCell ref="I13:I17"/>
    <mergeCell ref="J13:N13"/>
    <mergeCell ref="R2:T2"/>
    <mergeCell ref="R3:V3"/>
    <mergeCell ref="R4:V4"/>
    <mergeCell ref="R5:V5"/>
    <mergeCell ref="R6:W6"/>
    <mergeCell ref="B7:M7"/>
  </mergeCells>
  <printOptions horizontalCentered="1"/>
  <pageMargins left="0" right="0" top="0" bottom="0" header="0" footer="0"/>
  <pageSetup horizontalDpi="600" verticalDpi="600" orientation="landscape" paperSize="9" scale="50" r:id="rId1"/>
  <rowBreaks count="11" manualBreakCount="11">
    <brk id="46" max="22" man="1"/>
    <brk id="110" max="22" man="1"/>
    <brk id="161" max="22" man="1"/>
    <brk id="220" max="22" man="1"/>
    <brk id="276" max="22" man="1"/>
    <brk id="323" max="22" man="1"/>
    <brk id="409" max="22" man="1"/>
    <brk id="460" max="22" man="1"/>
    <brk id="493" max="22" man="1"/>
    <brk id="556" max="22" man="1"/>
    <brk id="60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D137"/>
  <sheetViews>
    <sheetView view="pageBreakPreview" zoomScale="91" zoomScaleNormal="91" zoomScaleSheetLayoutView="91" zoomScalePageLayoutView="0" workbookViewId="0" topLeftCell="C65">
      <selection activeCell="Q132" sqref="Q132"/>
    </sheetView>
  </sheetViews>
  <sheetFormatPr defaultColWidth="9.125" defaultRowHeight="12.75"/>
  <cols>
    <col min="1" max="1" width="4.50390625" style="203" customWidth="1"/>
    <col min="2" max="2" width="36.875" style="203" customWidth="1"/>
    <col min="3" max="3" width="10.375" style="406" customWidth="1"/>
    <col min="4" max="4" width="9.50390625" style="203" hidden="1" customWidth="1"/>
    <col min="5" max="5" width="8.375" style="203" customWidth="1"/>
    <col min="6" max="6" width="9.875" style="203" customWidth="1"/>
    <col min="7" max="7" width="11.125" style="203" customWidth="1"/>
    <col min="8" max="8" width="13.375" style="203" customWidth="1"/>
    <col min="9" max="9" width="10.375" style="203" customWidth="1"/>
    <col min="10" max="10" width="10.50390625" style="203" customWidth="1"/>
    <col min="11" max="11" width="11.00390625" style="203" customWidth="1"/>
    <col min="12" max="12" width="4.875" style="203" hidden="1" customWidth="1"/>
    <col min="13" max="13" width="9.875" style="203" customWidth="1"/>
    <col min="14" max="14" width="10.625" style="203" customWidth="1"/>
    <col min="15" max="15" width="11.875" style="203" customWidth="1"/>
    <col min="16" max="16" width="5.125" style="203" hidden="1" customWidth="1"/>
    <col min="17" max="17" width="8.875" style="203" customWidth="1"/>
    <col min="18" max="18" width="5.50390625" style="203" hidden="1" customWidth="1"/>
    <col min="19" max="19" width="9.625" style="203" customWidth="1"/>
    <col min="20" max="20" width="12.50390625" style="203" customWidth="1"/>
    <col min="21" max="21" width="14.625" style="203" customWidth="1"/>
    <col min="22" max="22" width="14.00390625" style="203" customWidth="1"/>
    <col min="23" max="23" width="10.00390625" style="203" customWidth="1"/>
    <col min="24" max="24" width="7.125" style="203" customWidth="1"/>
    <col min="25" max="25" width="12.50390625" style="203" customWidth="1"/>
    <col min="26" max="26" width="7.50390625" style="203" customWidth="1"/>
    <col min="27" max="27" width="5.625" style="203" customWidth="1"/>
    <col min="28" max="28" width="10.625" style="203" customWidth="1"/>
    <col min="29" max="29" width="12.50390625" style="203" customWidth="1"/>
    <col min="30" max="30" width="12.625" style="203" customWidth="1"/>
    <col min="31" max="16384" width="9.125" style="203" customWidth="1"/>
  </cols>
  <sheetData>
    <row r="1" spans="11:17" ht="13.5" hidden="1">
      <c r="K1" s="1099"/>
      <c r="L1" s="1099"/>
      <c r="M1" s="1099"/>
      <c r="N1" s="1099"/>
      <c r="O1" s="1099"/>
      <c r="P1" s="1099"/>
      <c r="Q1" s="1099"/>
    </row>
    <row r="2" ht="13.5" hidden="1"/>
    <row r="3" spans="15:22" ht="13.5" hidden="1">
      <c r="O3" s="1100" t="s">
        <v>370</v>
      </c>
      <c r="P3" s="1100"/>
      <c r="Q3" s="1100"/>
      <c r="R3" s="1100"/>
      <c r="S3" s="1100"/>
      <c r="T3" s="1100"/>
      <c r="U3" s="629"/>
      <c r="V3" s="629"/>
    </row>
    <row r="4" ht="13.5" hidden="1">
      <c r="O4" s="203" t="s">
        <v>371</v>
      </c>
    </row>
    <row r="5" spans="15:22" ht="13.5" hidden="1">
      <c r="O5" s="1100" t="s">
        <v>372</v>
      </c>
      <c r="P5" s="1100"/>
      <c r="Q5" s="1100"/>
      <c r="R5" s="1100"/>
      <c r="S5" s="1100"/>
      <c r="T5" s="1100"/>
      <c r="U5" s="629"/>
      <c r="V5" s="629"/>
    </row>
    <row r="6" spans="2:22" ht="13.5" hidden="1">
      <c r="B6" s="630" t="s">
        <v>373</v>
      </c>
      <c r="C6" s="631"/>
      <c r="D6" s="630"/>
      <c r="E6" s="630"/>
      <c r="O6" s="1100" t="s">
        <v>374</v>
      </c>
      <c r="P6" s="1100"/>
      <c r="Q6" s="1100"/>
      <c r="R6" s="1100"/>
      <c r="S6" s="1100"/>
      <c r="T6" s="1100"/>
      <c r="U6" s="629"/>
      <c r="V6" s="629"/>
    </row>
    <row r="7" spans="2:5" ht="13.5" hidden="1">
      <c r="B7" s="632" t="s">
        <v>375</v>
      </c>
      <c r="C7" s="633"/>
      <c r="D7" s="632"/>
      <c r="E7" s="632"/>
    </row>
    <row r="8" ht="13.5" hidden="1">
      <c r="B8" s="203" t="s">
        <v>7</v>
      </c>
    </row>
    <row r="9" ht="13.5" hidden="1"/>
    <row r="10" ht="13.5" hidden="1"/>
    <row r="11" ht="13.5" hidden="1"/>
    <row r="12" spans="1:22" ht="12.75" customHeight="1" hidden="1">
      <c r="A12" s="1101" t="s">
        <v>0</v>
      </c>
      <c r="B12" s="634" t="s">
        <v>1</v>
      </c>
      <c r="C12" s="635"/>
      <c r="D12" s="634"/>
      <c r="E12" s="636" t="s">
        <v>2</v>
      </c>
      <c r="F12" s="1103" t="s">
        <v>376</v>
      </c>
      <c r="G12" s="1104"/>
      <c r="H12" s="637"/>
      <c r="I12" s="637"/>
      <c r="J12" s="637"/>
      <c r="K12" s="1109" t="s">
        <v>33</v>
      </c>
      <c r="L12" s="1110"/>
      <c r="M12" s="1110"/>
      <c r="N12" s="638"/>
      <c r="O12" s="638" t="s">
        <v>5</v>
      </c>
      <c r="P12" s="638"/>
      <c r="Q12" s="638"/>
      <c r="R12" s="638"/>
      <c r="S12" s="639"/>
      <c r="T12" s="634" t="s">
        <v>377</v>
      </c>
      <c r="U12" s="634"/>
      <c r="V12" s="634"/>
    </row>
    <row r="13" spans="1:22" ht="12.75" customHeight="1" hidden="1">
      <c r="A13" s="1102"/>
      <c r="B13" s="640" t="s">
        <v>186</v>
      </c>
      <c r="C13" s="641"/>
      <c r="D13" s="640"/>
      <c r="E13" s="642" t="s">
        <v>3</v>
      </c>
      <c r="F13" s="1105"/>
      <c r="G13" s="1106"/>
      <c r="H13" s="643"/>
      <c r="I13" s="643"/>
      <c r="J13" s="643"/>
      <c r="K13" s="1111" t="s">
        <v>378</v>
      </c>
      <c r="L13" s="1114" t="s">
        <v>379</v>
      </c>
      <c r="M13" s="1114" t="s">
        <v>380</v>
      </c>
      <c r="N13" s="1117" t="s">
        <v>381</v>
      </c>
      <c r="O13" s="1114" t="s">
        <v>382</v>
      </c>
      <c r="P13" s="1119" t="s">
        <v>383</v>
      </c>
      <c r="Q13" s="1114" t="s">
        <v>20</v>
      </c>
      <c r="R13" s="1119"/>
      <c r="S13" s="1114" t="s">
        <v>21</v>
      </c>
      <c r="T13" s="640" t="s">
        <v>384</v>
      </c>
      <c r="U13" s="640"/>
      <c r="V13" s="640"/>
    </row>
    <row r="14" spans="1:22" ht="13.5" hidden="1">
      <c r="A14" s="1102"/>
      <c r="B14" s="640"/>
      <c r="C14" s="641"/>
      <c r="D14" s="640"/>
      <c r="E14" s="642" t="s">
        <v>4</v>
      </c>
      <c r="F14" s="1105"/>
      <c r="G14" s="1106"/>
      <c r="H14" s="643"/>
      <c r="I14" s="643"/>
      <c r="J14" s="643"/>
      <c r="K14" s="1112"/>
      <c r="L14" s="1115"/>
      <c r="M14" s="1115"/>
      <c r="N14" s="1117"/>
      <c r="O14" s="1115"/>
      <c r="P14" s="1115"/>
      <c r="Q14" s="1115"/>
      <c r="R14" s="1115"/>
      <c r="S14" s="1115"/>
      <c r="T14" s="644" t="s">
        <v>385</v>
      </c>
      <c r="U14" s="644"/>
      <c r="V14" s="644"/>
    </row>
    <row r="15" spans="1:22" ht="13.5" hidden="1">
      <c r="A15" s="641"/>
      <c r="B15" s="640"/>
      <c r="C15" s="641"/>
      <c r="D15" s="640"/>
      <c r="E15" s="642"/>
      <c r="F15" s="1105"/>
      <c r="G15" s="1106"/>
      <c r="H15" s="643"/>
      <c r="I15" s="643"/>
      <c r="J15" s="643"/>
      <c r="K15" s="1112"/>
      <c r="L15" s="1115"/>
      <c r="M15" s="1115"/>
      <c r="N15" s="1117"/>
      <c r="O15" s="1115"/>
      <c r="P15" s="1115"/>
      <c r="Q15" s="1115"/>
      <c r="R15" s="1115"/>
      <c r="S15" s="1115"/>
      <c r="T15" s="644"/>
      <c r="U15" s="644"/>
      <c r="V15" s="644"/>
    </row>
    <row r="16" spans="1:22" ht="84.75" customHeight="1" hidden="1">
      <c r="A16" s="645"/>
      <c r="B16" s="646"/>
      <c r="C16" s="645"/>
      <c r="D16" s="646"/>
      <c r="E16" s="647"/>
      <c r="F16" s="1107"/>
      <c r="G16" s="1108"/>
      <c r="H16" s="648"/>
      <c r="I16" s="648"/>
      <c r="J16" s="648"/>
      <c r="K16" s="1113"/>
      <c r="L16" s="1116"/>
      <c r="M16" s="1116"/>
      <c r="N16" s="1118"/>
      <c r="O16" s="1116"/>
      <c r="P16" s="1116"/>
      <c r="Q16" s="1116"/>
      <c r="R16" s="1116"/>
      <c r="S16" s="1116"/>
      <c r="T16" s="649"/>
      <c r="U16" s="649"/>
      <c r="V16" s="649"/>
    </row>
    <row r="17" spans="1:22" ht="27" hidden="1">
      <c r="A17" s="650">
        <v>1</v>
      </c>
      <c r="B17" s="651"/>
      <c r="C17" s="650"/>
      <c r="D17" s="651"/>
      <c r="E17" s="652"/>
      <c r="F17" s="653"/>
      <c r="G17" s="654" t="s">
        <v>386</v>
      </c>
      <c r="H17" s="654"/>
      <c r="I17" s="654"/>
      <c r="J17" s="654"/>
      <c r="K17" s="655">
        <f>(F17+N17+O17)*20%</f>
        <v>0</v>
      </c>
      <c r="L17" s="655"/>
      <c r="M17" s="656">
        <f>(F17*E17+N17+O17)*20%</f>
        <v>0</v>
      </c>
      <c r="N17" s="655">
        <f>F17*20%</f>
        <v>0</v>
      </c>
      <c r="O17" s="655">
        <f>F17*10%</f>
        <v>0</v>
      </c>
      <c r="P17" s="655"/>
      <c r="Q17" s="655"/>
      <c r="R17" s="655"/>
      <c r="S17" s="655"/>
      <c r="T17" s="655">
        <f>F17*E17+K17+M17+N17+O17+P17+Q17+R17+S17+L17</f>
        <v>0</v>
      </c>
      <c r="U17" s="655"/>
      <c r="V17" s="655"/>
    </row>
    <row r="18" spans="1:22" ht="18.75" customHeight="1" hidden="1">
      <c r="A18" s="1120"/>
      <c r="B18" s="1122"/>
      <c r="C18" s="657"/>
      <c r="D18" s="658"/>
      <c r="E18" s="1124"/>
      <c r="F18" s="1126">
        <f>F17*95%</f>
        <v>0</v>
      </c>
      <c r="G18" s="1128" t="s">
        <v>387</v>
      </c>
      <c r="H18" s="659"/>
      <c r="I18" s="659"/>
      <c r="J18" s="659"/>
      <c r="K18" s="1126">
        <f>(F18+N18+O18)*30%</f>
        <v>0</v>
      </c>
      <c r="L18" s="1130"/>
      <c r="M18" s="1126">
        <f>(F18*E18+N18+O18)*20%</f>
        <v>0</v>
      </c>
      <c r="N18" s="1130">
        <f>F18*20%</f>
        <v>0</v>
      </c>
      <c r="O18" s="1130">
        <f>F18*10%</f>
        <v>0</v>
      </c>
      <c r="P18" s="1130"/>
      <c r="Q18" s="1130"/>
      <c r="R18" s="1130"/>
      <c r="S18" s="1130"/>
      <c r="T18" s="1130">
        <f>F18*E18+K18+M18+N18+O18+P18+Q18+R18+S18+L18</f>
        <v>0</v>
      </c>
      <c r="U18" s="660"/>
      <c r="V18" s="660"/>
    </row>
    <row r="19" spans="1:22" ht="18" customHeight="1" hidden="1">
      <c r="A19" s="1121"/>
      <c r="B19" s="1123"/>
      <c r="C19" s="661"/>
      <c r="D19" s="662"/>
      <c r="E19" s="1125"/>
      <c r="F19" s="1127"/>
      <c r="G19" s="1129"/>
      <c r="H19" s="663"/>
      <c r="I19" s="663"/>
      <c r="J19" s="663"/>
      <c r="K19" s="1127"/>
      <c r="L19" s="1131"/>
      <c r="M19" s="1127"/>
      <c r="N19" s="1131"/>
      <c r="O19" s="1131"/>
      <c r="P19" s="1131"/>
      <c r="Q19" s="1131"/>
      <c r="R19" s="1131"/>
      <c r="S19" s="1131"/>
      <c r="T19" s="1131"/>
      <c r="U19" s="664"/>
      <c r="V19" s="664"/>
    </row>
    <row r="20" spans="1:22" ht="24" customHeight="1" hidden="1">
      <c r="A20" s="665"/>
      <c r="B20" s="666"/>
      <c r="C20" s="665"/>
      <c r="D20" s="666"/>
      <c r="E20" s="666"/>
      <c r="F20" s="653"/>
      <c r="G20" s="654" t="s">
        <v>388</v>
      </c>
      <c r="H20" s="654"/>
      <c r="I20" s="654"/>
      <c r="J20" s="654"/>
      <c r="K20" s="655">
        <f>(F20+O20)*30%</f>
        <v>0</v>
      </c>
      <c r="L20" s="655"/>
      <c r="M20" s="667">
        <f>(F20*E20+O20+N20)*20%</f>
        <v>0</v>
      </c>
      <c r="N20" s="655"/>
      <c r="O20" s="655">
        <f>F20*10%</f>
        <v>0</v>
      </c>
      <c r="P20" s="668"/>
      <c r="Q20" s="668"/>
      <c r="R20" s="668"/>
      <c r="S20" s="668"/>
      <c r="T20" s="655">
        <f aca="true" t="shared" si="0" ref="T20:T25">F20*E20+K20+M20+N20+O20+P20+Q20+R20+S20+L20</f>
        <v>0</v>
      </c>
      <c r="U20" s="655"/>
      <c r="V20" s="655"/>
    </row>
    <row r="21" spans="1:22" ht="12" customHeight="1" hidden="1">
      <c r="A21" s="665"/>
      <c r="B21" s="666" t="s">
        <v>389</v>
      </c>
      <c r="C21" s="665"/>
      <c r="D21" s="666"/>
      <c r="E21" s="666"/>
      <c r="F21" s="653"/>
      <c r="G21" s="654"/>
      <c r="H21" s="654"/>
      <c r="I21" s="654"/>
      <c r="J21" s="654"/>
      <c r="K21" s="655"/>
      <c r="L21" s="655"/>
      <c r="M21" s="667">
        <f>(F21*E21+O21+N21)*20%</f>
        <v>0</v>
      </c>
      <c r="N21" s="655">
        <f>F21*20%/2</f>
        <v>0</v>
      </c>
      <c r="O21" s="655">
        <f>F21*10%/2</f>
        <v>0</v>
      </c>
      <c r="P21" s="668"/>
      <c r="Q21" s="668"/>
      <c r="R21" s="668"/>
      <c r="S21" s="668"/>
      <c r="T21" s="655">
        <f t="shared" si="0"/>
        <v>0</v>
      </c>
      <c r="U21" s="655"/>
      <c r="V21" s="655"/>
    </row>
    <row r="22" spans="1:22" ht="13.5" hidden="1">
      <c r="A22" s="665"/>
      <c r="B22" s="666"/>
      <c r="C22" s="665"/>
      <c r="D22" s="666"/>
      <c r="E22" s="666"/>
      <c r="F22" s="653"/>
      <c r="G22" s="654" t="s">
        <v>388</v>
      </c>
      <c r="H22" s="654"/>
      <c r="I22" s="654"/>
      <c r="J22" s="654"/>
      <c r="K22" s="655"/>
      <c r="L22" s="655"/>
      <c r="M22" s="667">
        <f>(F22*E22+O22+N22)*20%</f>
        <v>0</v>
      </c>
      <c r="N22" s="655"/>
      <c r="O22" s="655">
        <f>F22*10%</f>
        <v>0</v>
      </c>
      <c r="P22" s="668"/>
      <c r="Q22" s="668"/>
      <c r="R22" s="668"/>
      <c r="S22" s="668"/>
      <c r="T22" s="655">
        <f t="shared" si="0"/>
        <v>0</v>
      </c>
      <c r="U22" s="655"/>
      <c r="V22" s="655"/>
    </row>
    <row r="23" spans="1:22" ht="13.5" hidden="1">
      <c r="A23" s="665"/>
      <c r="B23" s="666"/>
      <c r="C23" s="665"/>
      <c r="D23" s="666"/>
      <c r="E23" s="666"/>
      <c r="F23" s="653"/>
      <c r="G23" s="654" t="s">
        <v>55</v>
      </c>
      <c r="H23" s="654"/>
      <c r="I23" s="654"/>
      <c r="J23" s="654"/>
      <c r="K23" s="655">
        <f>(F23+O23)*10%</f>
        <v>0</v>
      </c>
      <c r="L23" s="655"/>
      <c r="M23" s="667">
        <f>(F23*E23+O23+N23)*20%</f>
        <v>0</v>
      </c>
      <c r="N23" s="655"/>
      <c r="O23" s="655">
        <f>F23*10%</f>
        <v>0</v>
      </c>
      <c r="P23" s="668"/>
      <c r="Q23" s="668"/>
      <c r="R23" s="668"/>
      <c r="S23" s="668"/>
      <c r="T23" s="655">
        <f t="shared" si="0"/>
        <v>0</v>
      </c>
      <c r="U23" s="655"/>
      <c r="V23" s="655"/>
    </row>
    <row r="24" spans="1:22" ht="27" hidden="1">
      <c r="A24" s="665"/>
      <c r="B24" s="666"/>
      <c r="C24" s="665"/>
      <c r="D24" s="666"/>
      <c r="E24" s="666"/>
      <c r="F24" s="653"/>
      <c r="G24" s="654" t="s">
        <v>390</v>
      </c>
      <c r="H24" s="654"/>
      <c r="I24" s="654"/>
      <c r="J24" s="654"/>
      <c r="K24" s="655"/>
      <c r="L24" s="655"/>
      <c r="M24" s="667"/>
      <c r="N24" s="655"/>
      <c r="O24" s="655">
        <f>F24*E24*10%</f>
        <v>0</v>
      </c>
      <c r="P24" s="668"/>
      <c r="Q24" s="668"/>
      <c r="R24" s="668"/>
      <c r="S24" s="668"/>
      <c r="T24" s="655">
        <f>F24*E24+K24+M24+N24+O24+P24+Q24+R24+S24+L24</f>
        <v>0</v>
      </c>
      <c r="U24" s="655"/>
      <c r="V24" s="655"/>
    </row>
    <row r="25" spans="1:22" ht="27" hidden="1">
      <c r="A25" s="665"/>
      <c r="B25" s="666"/>
      <c r="C25" s="665"/>
      <c r="D25" s="666"/>
      <c r="E25" s="666"/>
      <c r="F25" s="653"/>
      <c r="G25" s="654" t="s">
        <v>391</v>
      </c>
      <c r="H25" s="654"/>
      <c r="I25" s="654"/>
      <c r="J25" s="654"/>
      <c r="K25" s="655">
        <f>F25*30%</f>
        <v>0</v>
      </c>
      <c r="L25" s="655"/>
      <c r="M25" s="667">
        <f>F25*50%</f>
        <v>0</v>
      </c>
      <c r="N25" s="668">
        <f>F25*15%</f>
        <v>0</v>
      </c>
      <c r="O25" s="668"/>
      <c r="P25" s="668"/>
      <c r="Q25" s="668"/>
      <c r="R25" s="668"/>
      <c r="S25" s="668"/>
      <c r="T25" s="655">
        <f t="shared" si="0"/>
        <v>0</v>
      </c>
      <c r="U25" s="655"/>
      <c r="V25" s="655"/>
    </row>
    <row r="26" spans="1:23" ht="9" customHeight="1" hidden="1">
      <c r="A26" s="1120"/>
      <c r="B26" s="666"/>
      <c r="C26" s="665"/>
      <c r="D26" s="666"/>
      <c r="E26" s="666"/>
      <c r="F26" s="653"/>
      <c r="G26" s="654"/>
      <c r="H26" s="669"/>
      <c r="I26" s="669"/>
      <c r="J26" s="669"/>
      <c r="K26" s="1130"/>
      <c r="L26" s="660"/>
      <c r="M26" s="1130"/>
      <c r="N26" s="1130"/>
      <c r="O26" s="1130"/>
      <c r="P26" s="1130"/>
      <c r="Q26" s="1130"/>
      <c r="R26" s="1130"/>
      <c r="S26" s="1130"/>
      <c r="T26" s="1130">
        <f>F26*E26+K27+M27+N27+O27+P27+Q27+R27+S27+L27</f>
        <v>0</v>
      </c>
      <c r="U26" s="660"/>
      <c r="V26" s="660"/>
      <c r="W26" s="349">
        <f>P32+P33+P34+R32+R33+R34+R38+N44+O44+Q43+S44+S42</f>
        <v>0</v>
      </c>
    </row>
    <row r="27" spans="1:22" ht="21.75" customHeight="1" hidden="1">
      <c r="A27" s="1121"/>
      <c r="B27" s="666"/>
      <c r="C27" s="665"/>
      <c r="D27" s="666"/>
      <c r="E27" s="666"/>
      <c r="F27" s="653"/>
      <c r="G27" s="654" t="s">
        <v>55</v>
      </c>
      <c r="H27" s="654"/>
      <c r="I27" s="654"/>
      <c r="J27" s="654"/>
      <c r="K27" s="1131"/>
      <c r="L27" s="664"/>
      <c r="M27" s="1131"/>
      <c r="N27" s="1131"/>
      <c r="O27" s="1131"/>
      <c r="P27" s="1131"/>
      <c r="Q27" s="1131"/>
      <c r="R27" s="1131"/>
      <c r="S27" s="1131"/>
      <c r="T27" s="1131"/>
      <c r="U27" s="664"/>
      <c r="V27" s="664"/>
    </row>
    <row r="28" spans="1:22" ht="13.5" hidden="1">
      <c r="A28" s="665">
        <v>1</v>
      </c>
      <c r="B28" s="666" t="s">
        <v>225</v>
      </c>
      <c r="C28" s="665"/>
      <c r="D28" s="666"/>
      <c r="E28" s="666"/>
      <c r="F28" s="653"/>
      <c r="G28" s="654" t="s">
        <v>55</v>
      </c>
      <c r="H28" s="654"/>
      <c r="I28" s="654"/>
      <c r="J28" s="654"/>
      <c r="K28" s="668"/>
      <c r="L28" s="668"/>
      <c r="M28" s="668"/>
      <c r="N28" s="668"/>
      <c r="O28" s="668"/>
      <c r="P28" s="668"/>
      <c r="Q28" s="668"/>
      <c r="R28" s="668"/>
      <c r="S28" s="668"/>
      <c r="T28" s="655">
        <f>F28*E28+K28+M28+N28+O28+P28+Q28+R28+S28+L28</f>
        <v>0</v>
      </c>
      <c r="U28" s="655"/>
      <c r="V28" s="655"/>
    </row>
    <row r="29" spans="1:22" ht="13.5" hidden="1">
      <c r="A29" s="665"/>
      <c r="B29" s="666"/>
      <c r="C29" s="665"/>
      <c r="D29" s="666"/>
      <c r="E29" s="666"/>
      <c r="F29" s="653"/>
      <c r="G29" s="654" t="s">
        <v>392</v>
      </c>
      <c r="H29" s="654"/>
      <c r="I29" s="654"/>
      <c r="J29" s="654"/>
      <c r="K29" s="668">
        <f>F29*30%</f>
        <v>0</v>
      </c>
      <c r="L29" s="668"/>
      <c r="M29" s="668"/>
      <c r="N29" s="668"/>
      <c r="O29" s="668"/>
      <c r="P29" s="668"/>
      <c r="Q29" s="668"/>
      <c r="R29" s="668"/>
      <c r="S29" s="668"/>
      <c r="T29" s="655">
        <f aca="true" t="shared" si="1" ref="T29:T38">F29*E29+K29+M29+N29+O29+P29+Q29+R29+S29+L29</f>
        <v>0</v>
      </c>
      <c r="U29" s="655"/>
      <c r="V29" s="655"/>
    </row>
    <row r="30" spans="1:22" ht="13.5" hidden="1">
      <c r="A30" s="665"/>
      <c r="B30" s="666"/>
      <c r="C30" s="665"/>
      <c r="D30" s="666"/>
      <c r="E30" s="666"/>
      <c r="F30" s="653"/>
      <c r="G30" s="654" t="s">
        <v>393</v>
      </c>
      <c r="H30" s="654"/>
      <c r="I30" s="654"/>
      <c r="J30" s="654"/>
      <c r="K30" s="668"/>
      <c r="L30" s="668"/>
      <c r="M30" s="668"/>
      <c r="N30" s="668"/>
      <c r="O30" s="668"/>
      <c r="P30" s="668"/>
      <c r="Q30" s="668"/>
      <c r="R30" s="668"/>
      <c r="S30" s="668"/>
      <c r="T30" s="655">
        <f t="shared" si="1"/>
        <v>0</v>
      </c>
      <c r="U30" s="655"/>
      <c r="V30" s="655"/>
    </row>
    <row r="31" spans="1:22" ht="13.5" hidden="1">
      <c r="A31" s="665"/>
      <c r="B31" s="666"/>
      <c r="C31" s="665"/>
      <c r="D31" s="666"/>
      <c r="E31" s="666"/>
      <c r="F31" s="653"/>
      <c r="G31" s="654" t="s">
        <v>394</v>
      </c>
      <c r="H31" s="654"/>
      <c r="I31" s="654"/>
      <c r="J31" s="654"/>
      <c r="K31" s="668"/>
      <c r="L31" s="668"/>
      <c r="M31" s="668"/>
      <c r="N31" s="668"/>
      <c r="O31" s="668"/>
      <c r="P31" s="668"/>
      <c r="Q31" s="668"/>
      <c r="R31" s="668"/>
      <c r="S31" s="668"/>
      <c r="T31" s="655">
        <f t="shared" si="1"/>
        <v>0</v>
      </c>
      <c r="U31" s="655"/>
      <c r="V31" s="655"/>
    </row>
    <row r="32" spans="1:22" ht="13.5" hidden="1">
      <c r="A32" s="665"/>
      <c r="B32" s="666"/>
      <c r="C32" s="665"/>
      <c r="D32" s="666"/>
      <c r="E32" s="666"/>
      <c r="F32" s="653"/>
      <c r="G32" s="663" t="s">
        <v>392</v>
      </c>
      <c r="H32" s="663"/>
      <c r="I32" s="663"/>
      <c r="J32" s="663"/>
      <c r="K32" s="668"/>
      <c r="L32" s="668">
        <f>F32*12%*E32</f>
        <v>0</v>
      </c>
      <c r="M32" s="668"/>
      <c r="N32" s="668"/>
      <c r="O32" s="668"/>
      <c r="P32" s="668">
        <f>F32*15%*E32</f>
        <v>0</v>
      </c>
      <c r="Q32" s="668"/>
      <c r="R32" s="668"/>
      <c r="S32" s="668"/>
      <c r="T32" s="655">
        <f>F32*E32+K32+M32+N32+O32+P32+Q32+R32+S32+L32</f>
        <v>0</v>
      </c>
      <c r="U32" s="655"/>
      <c r="V32" s="655"/>
    </row>
    <row r="33" spans="1:22" ht="13.5" hidden="1">
      <c r="A33" s="665"/>
      <c r="B33" s="666"/>
      <c r="C33" s="665"/>
      <c r="D33" s="666"/>
      <c r="E33" s="666"/>
      <c r="F33" s="653"/>
      <c r="G33" s="663" t="s">
        <v>394</v>
      </c>
      <c r="H33" s="663"/>
      <c r="I33" s="663"/>
      <c r="J33" s="663"/>
      <c r="K33" s="668"/>
      <c r="L33" s="668">
        <f>F33*12%*E33</f>
        <v>0</v>
      </c>
      <c r="M33" s="668"/>
      <c r="N33" s="668"/>
      <c r="O33" s="668"/>
      <c r="P33" s="668">
        <f>F33*15%*E33</f>
        <v>0</v>
      </c>
      <c r="Q33" s="668"/>
      <c r="R33" s="668"/>
      <c r="S33" s="668"/>
      <c r="T33" s="655">
        <f t="shared" si="1"/>
        <v>0</v>
      </c>
      <c r="U33" s="655"/>
      <c r="V33" s="655"/>
    </row>
    <row r="34" spans="1:22" ht="13.5" hidden="1">
      <c r="A34" s="665"/>
      <c r="B34" s="666"/>
      <c r="C34" s="665"/>
      <c r="D34" s="666"/>
      <c r="E34" s="666"/>
      <c r="F34" s="653"/>
      <c r="G34" s="663" t="s">
        <v>395</v>
      </c>
      <c r="H34" s="663"/>
      <c r="I34" s="663"/>
      <c r="J34" s="663"/>
      <c r="K34" s="668"/>
      <c r="L34" s="668">
        <f>F34*12%*E34</f>
        <v>0</v>
      </c>
      <c r="M34" s="668"/>
      <c r="N34" s="668"/>
      <c r="O34" s="668"/>
      <c r="P34" s="668">
        <f>F34*15%*E34</f>
        <v>0</v>
      </c>
      <c r="Q34" s="668"/>
      <c r="R34" s="668"/>
      <c r="S34" s="668"/>
      <c r="T34" s="655">
        <f t="shared" si="1"/>
        <v>0</v>
      </c>
      <c r="U34" s="655"/>
      <c r="V34" s="655"/>
    </row>
    <row r="35" spans="1:22" ht="13.5" hidden="1">
      <c r="A35" s="665"/>
      <c r="B35" s="666"/>
      <c r="C35" s="665"/>
      <c r="D35" s="666"/>
      <c r="E35" s="666"/>
      <c r="F35" s="653"/>
      <c r="G35" s="663" t="s">
        <v>396</v>
      </c>
      <c r="H35" s="663"/>
      <c r="I35" s="663"/>
      <c r="J35" s="663"/>
      <c r="K35" s="668"/>
      <c r="L35" s="668"/>
      <c r="M35" s="668"/>
      <c r="N35" s="668"/>
      <c r="O35" s="668"/>
      <c r="P35" s="668"/>
      <c r="Q35" s="668"/>
      <c r="R35" s="668"/>
      <c r="S35" s="668"/>
      <c r="T35" s="655">
        <f t="shared" si="1"/>
        <v>0</v>
      </c>
      <c r="U35" s="655"/>
      <c r="V35" s="655"/>
    </row>
    <row r="36" spans="1:22" ht="13.5" hidden="1">
      <c r="A36" s="665"/>
      <c r="B36" s="666"/>
      <c r="C36" s="665"/>
      <c r="D36" s="666"/>
      <c r="E36" s="666"/>
      <c r="F36" s="653"/>
      <c r="G36" s="654" t="s">
        <v>396</v>
      </c>
      <c r="H36" s="654"/>
      <c r="I36" s="654"/>
      <c r="J36" s="654"/>
      <c r="K36" s="668"/>
      <c r="L36" s="668"/>
      <c r="M36" s="668"/>
      <c r="N36" s="668"/>
      <c r="O36" s="668"/>
      <c r="P36" s="668"/>
      <c r="Q36" s="668"/>
      <c r="R36" s="668"/>
      <c r="S36" s="668"/>
      <c r="T36" s="655">
        <f t="shared" si="1"/>
        <v>0</v>
      </c>
      <c r="U36" s="655"/>
      <c r="V36" s="655"/>
    </row>
    <row r="37" spans="1:22" ht="13.5" hidden="1">
      <c r="A37" s="665"/>
      <c r="B37" s="666"/>
      <c r="C37" s="665"/>
      <c r="D37" s="666"/>
      <c r="E37" s="666"/>
      <c r="F37" s="653"/>
      <c r="G37" s="654" t="s">
        <v>396</v>
      </c>
      <c r="H37" s="654"/>
      <c r="I37" s="654"/>
      <c r="J37" s="654"/>
      <c r="K37" s="668"/>
      <c r="L37" s="668"/>
      <c r="M37" s="668"/>
      <c r="N37" s="668"/>
      <c r="O37" s="668"/>
      <c r="P37" s="668"/>
      <c r="Q37" s="668"/>
      <c r="R37" s="668"/>
      <c r="S37" s="668"/>
      <c r="T37" s="655">
        <f t="shared" si="1"/>
        <v>0</v>
      </c>
      <c r="U37" s="655"/>
      <c r="V37" s="655"/>
    </row>
    <row r="38" spans="1:22" ht="13.5" hidden="1">
      <c r="A38" s="665"/>
      <c r="B38" s="666"/>
      <c r="C38" s="665"/>
      <c r="D38" s="666"/>
      <c r="E38" s="666"/>
      <c r="F38" s="653"/>
      <c r="G38" s="654" t="s">
        <v>396</v>
      </c>
      <c r="H38" s="654"/>
      <c r="I38" s="654"/>
      <c r="J38" s="654"/>
      <c r="K38" s="668"/>
      <c r="L38" s="668">
        <f>F38*12%*E38</f>
        <v>0</v>
      </c>
      <c r="M38" s="668"/>
      <c r="N38" s="668"/>
      <c r="O38" s="668"/>
      <c r="P38" s="668"/>
      <c r="Q38" s="668"/>
      <c r="R38" s="668"/>
      <c r="S38" s="668"/>
      <c r="T38" s="655">
        <f t="shared" si="1"/>
        <v>0</v>
      </c>
      <c r="U38" s="655"/>
      <c r="V38" s="655"/>
    </row>
    <row r="39" spans="1:22" ht="13.5" hidden="1">
      <c r="A39" s="665"/>
      <c r="B39" s="670"/>
      <c r="C39" s="671"/>
      <c r="D39" s="670"/>
      <c r="E39" s="666"/>
      <c r="F39" s="653"/>
      <c r="G39" s="663" t="s">
        <v>394</v>
      </c>
      <c r="H39" s="663"/>
      <c r="I39" s="663"/>
      <c r="J39" s="663"/>
      <c r="K39" s="668"/>
      <c r="L39" s="668"/>
      <c r="M39" s="668"/>
      <c r="N39" s="668"/>
      <c r="O39" s="668"/>
      <c r="P39" s="668"/>
      <c r="Q39" s="668"/>
      <c r="R39" s="668"/>
      <c r="S39" s="668"/>
      <c r="T39" s="655">
        <f>F39*E39+K39+M39+N39+O39+P39+Q39+R39+S39+L39</f>
        <v>0</v>
      </c>
      <c r="U39" s="655"/>
      <c r="V39" s="655"/>
    </row>
    <row r="40" spans="1:22" ht="47.25" customHeight="1" hidden="1">
      <c r="A40" s="665"/>
      <c r="B40" s="670" t="s">
        <v>397</v>
      </c>
      <c r="C40" s="671"/>
      <c r="D40" s="670"/>
      <c r="E40" s="666"/>
      <c r="F40" s="653"/>
      <c r="G40" s="663" t="s">
        <v>392</v>
      </c>
      <c r="H40" s="663"/>
      <c r="I40" s="663"/>
      <c r="J40" s="663"/>
      <c r="K40" s="668"/>
      <c r="L40" s="668"/>
      <c r="M40" s="668"/>
      <c r="N40" s="668"/>
      <c r="O40" s="668"/>
      <c r="P40" s="668"/>
      <c r="Q40" s="668"/>
      <c r="R40" s="668"/>
      <c r="S40" s="668"/>
      <c r="T40" s="655">
        <f>F40*E40+K40+M40+N40+O40+P40+Q40+R40+S40+L40</f>
        <v>0</v>
      </c>
      <c r="U40" s="655"/>
      <c r="V40" s="655"/>
    </row>
    <row r="41" spans="1:22" ht="31.5" customHeight="1" hidden="1">
      <c r="A41" s="665">
        <v>2</v>
      </c>
      <c r="B41" s="670" t="s">
        <v>398</v>
      </c>
      <c r="C41" s="671"/>
      <c r="D41" s="670"/>
      <c r="E41" s="666"/>
      <c r="F41" s="653"/>
      <c r="G41" s="654" t="s">
        <v>396</v>
      </c>
      <c r="H41" s="654"/>
      <c r="I41" s="654"/>
      <c r="J41" s="654"/>
      <c r="K41" s="668"/>
      <c r="L41" s="668"/>
      <c r="M41" s="668"/>
      <c r="N41" s="668"/>
      <c r="O41" s="668"/>
      <c r="P41" s="668"/>
      <c r="Q41" s="668">
        <f>F41*E41*10%</f>
        <v>0</v>
      </c>
      <c r="R41" s="668"/>
      <c r="S41" s="668"/>
      <c r="T41" s="655">
        <f>F41*E41+K41+M41+N41+O41+P41+Q41+R41+S41+L41</f>
        <v>0</v>
      </c>
      <c r="U41" s="655"/>
      <c r="V41" s="655"/>
    </row>
    <row r="42" spans="1:22" ht="13.5" hidden="1">
      <c r="A42" s="665">
        <v>3</v>
      </c>
      <c r="B42" s="666" t="s">
        <v>10</v>
      </c>
      <c r="C42" s="665"/>
      <c r="D42" s="666"/>
      <c r="E42" s="666"/>
      <c r="F42" s="653"/>
      <c r="G42" s="654" t="s">
        <v>396</v>
      </c>
      <c r="H42" s="654"/>
      <c r="I42" s="654"/>
      <c r="J42" s="654"/>
      <c r="K42" s="668"/>
      <c r="L42" s="668"/>
      <c r="M42" s="668"/>
      <c r="N42" s="668"/>
      <c r="O42" s="668"/>
      <c r="P42" s="668"/>
      <c r="Q42" s="668"/>
      <c r="R42" s="668"/>
      <c r="S42" s="672">
        <f>F42*E42*40%</f>
        <v>0</v>
      </c>
      <c r="T42" s="655">
        <f aca="true" t="shared" si="2" ref="T42:T47">F42*E42+K42+M42+N42+O42+P42+Q42+R42+S42+L42</f>
        <v>0</v>
      </c>
      <c r="U42" s="655"/>
      <c r="V42" s="655"/>
    </row>
    <row r="43" spans="1:22" ht="25.5" customHeight="1" hidden="1">
      <c r="A43" s="665">
        <v>4</v>
      </c>
      <c r="B43" s="666" t="s">
        <v>399</v>
      </c>
      <c r="C43" s="665"/>
      <c r="D43" s="666"/>
      <c r="E43" s="666"/>
      <c r="F43" s="653"/>
      <c r="G43" s="663" t="s">
        <v>395</v>
      </c>
      <c r="H43" s="663"/>
      <c r="I43" s="663"/>
      <c r="J43" s="663"/>
      <c r="K43" s="668"/>
      <c r="L43" s="668"/>
      <c r="M43" s="668"/>
      <c r="N43" s="668"/>
      <c r="O43" s="668"/>
      <c r="P43" s="668"/>
      <c r="Q43" s="668"/>
      <c r="R43" s="668"/>
      <c r="S43" s="668"/>
      <c r="T43" s="655">
        <f t="shared" si="2"/>
        <v>0</v>
      </c>
      <c r="U43" s="655"/>
      <c r="V43" s="655"/>
    </row>
    <row r="44" spans="1:22" ht="13.5" hidden="1">
      <c r="A44" s="665"/>
      <c r="B44" s="666"/>
      <c r="C44" s="665"/>
      <c r="D44" s="666"/>
      <c r="E44" s="666"/>
      <c r="F44" s="653"/>
      <c r="G44" s="663" t="s">
        <v>392</v>
      </c>
      <c r="H44" s="663"/>
      <c r="I44" s="663"/>
      <c r="J44" s="663"/>
      <c r="K44" s="668"/>
      <c r="L44" s="668"/>
      <c r="M44" s="668"/>
      <c r="N44" s="668">
        <f>F44*20%*3</f>
        <v>0</v>
      </c>
      <c r="O44" s="668">
        <f>F44*E44*10%</f>
        <v>0</v>
      </c>
      <c r="P44" s="668"/>
      <c r="Q44" s="668"/>
      <c r="R44" s="668"/>
      <c r="S44" s="668">
        <f>F44*40%*4</f>
        <v>0</v>
      </c>
      <c r="T44" s="655">
        <f t="shared" si="2"/>
        <v>0</v>
      </c>
      <c r="U44" s="655"/>
      <c r="V44" s="655"/>
    </row>
    <row r="45" spans="1:22" ht="13.5" hidden="1">
      <c r="A45" s="665"/>
      <c r="B45" s="666"/>
      <c r="C45" s="665"/>
      <c r="D45" s="666"/>
      <c r="E45" s="666"/>
      <c r="F45" s="653"/>
      <c r="G45" s="654" t="s">
        <v>396</v>
      </c>
      <c r="H45" s="654"/>
      <c r="I45" s="654"/>
      <c r="J45" s="654"/>
      <c r="K45" s="668"/>
      <c r="L45" s="668"/>
      <c r="M45" s="668"/>
      <c r="N45" s="668"/>
      <c r="O45" s="668"/>
      <c r="P45" s="668"/>
      <c r="Q45" s="668"/>
      <c r="R45" s="668"/>
      <c r="S45" s="668"/>
      <c r="T45" s="655">
        <f t="shared" si="2"/>
        <v>0</v>
      </c>
      <c r="U45" s="655"/>
      <c r="V45" s="655"/>
    </row>
    <row r="46" spans="1:22" ht="13.5" hidden="1">
      <c r="A46" s="665"/>
      <c r="B46" s="666"/>
      <c r="C46" s="665"/>
      <c r="D46" s="666"/>
      <c r="E46" s="666"/>
      <c r="F46" s="653"/>
      <c r="G46" s="654" t="s">
        <v>396</v>
      </c>
      <c r="H46" s="654"/>
      <c r="I46" s="654"/>
      <c r="J46" s="654"/>
      <c r="K46" s="668"/>
      <c r="L46" s="668"/>
      <c r="M46" s="668"/>
      <c r="N46" s="668"/>
      <c r="O46" s="668"/>
      <c r="P46" s="668"/>
      <c r="Q46" s="668"/>
      <c r="R46" s="668"/>
      <c r="S46" s="668"/>
      <c r="T46" s="655">
        <f t="shared" si="2"/>
        <v>0</v>
      </c>
      <c r="U46" s="655"/>
      <c r="V46" s="655"/>
    </row>
    <row r="47" spans="1:22" ht="13.5" hidden="1">
      <c r="A47" s="665"/>
      <c r="B47" s="666"/>
      <c r="C47" s="665"/>
      <c r="D47" s="666"/>
      <c r="E47" s="666"/>
      <c r="F47" s="673"/>
      <c r="G47" s="654" t="s">
        <v>55</v>
      </c>
      <c r="H47" s="654"/>
      <c r="I47" s="654"/>
      <c r="J47" s="654"/>
      <c r="K47" s="668">
        <f>F47*15%</f>
        <v>0</v>
      </c>
      <c r="L47" s="668"/>
      <c r="M47" s="668">
        <f>F47*20%</f>
        <v>0</v>
      </c>
      <c r="N47" s="668"/>
      <c r="O47" s="668"/>
      <c r="P47" s="668"/>
      <c r="Q47" s="668"/>
      <c r="R47" s="668"/>
      <c r="S47" s="668"/>
      <c r="T47" s="655">
        <f t="shared" si="2"/>
        <v>0</v>
      </c>
      <c r="U47" s="655"/>
      <c r="V47" s="655"/>
    </row>
    <row r="48" spans="1:22" ht="28.5" customHeight="1" hidden="1">
      <c r="A48" s="666"/>
      <c r="B48" s="666" t="s">
        <v>6</v>
      </c>
      <c r="C48" s="665"/>
      <c r="D48" s="666"/>
      <c r="E48" s="668">
        <f>SUM(E17:E47)</f>
        <v>0</v>
      </c>
      <c r="F48" s="673">
        <f>F28+F40+F41+F42*E42+F43</f>
        <v>0</v>
      </c>
      <c r="G48" s="673"/>
      <c r="H48" s="673"/>
      <c r="I48" s="673"/>
      <c r="J48" s="673"/>
      <c r="K48" s="668">
        <f>SUM(K17:K47)</f>
        <v>0</v>
      </c>
      <c r="L48" s="668">
        <f>SUM(L17:L47)</f>
        <v>0</v>
      </c>
      <c r="M48" s="674">
        <f aca="true" t="shared" si="3" ref="M48:S48">SUM(M17:M47)</f>
        <v>0</v>
      </c>
      <c r="N48" s="668">
        <f t="shared" si="3"/>
        <v>0</v>
      </c>
      <c r="O48" s="668">
        <f t="shared" si="3"/>
        <v>0</v>
      </c>
      <c r="P48" s="668">
        <f t="shared" si="3"/>
        <v>0</v>
      </c>
      <c r="Q48" s="668">
        <f t="shared" si="3"/>
        <v>0</v>
      </c>
      <c r="R48" s="668">
        <f t="shared" si="3"/>
        <v>0</v>
      </c>
      <c r="S48" s="672">
        <f t="shared" si="3"/>
        <v>0</v>
      </c>
      <c r="T48" s="668">
        <f>SUM(T17:T47)</f>
        <v>0</v>
      </c>
      <c r="U48" s="668"/>
      <c r="V48" s="668"/>
    </row>
    <row r="49" spans="5:22" ht="13.5" hidden="1">
      <c r="E49" s="349"/>
      <c r="F49" s="675"/>
      <c r="G49" s="675"/>
      <c r="H49" s="675"/>
      <c r="I49" s="675"/>
      <c r="J49" s="675"/>
      <c r="K49" s="349"/>
      <c r="L49" s="349"/>
      <c r="T49" s="349"/>
      <c r="U49" s="349"/>
      <c r="V49" s="349"/>
    </row>
    <row r="50" spans="5:22" ht="13.5" hidden="1">
      <c r="E50" s="349"/>
      <c r="F50" s="675">
        <f>F26+F28*E28+F29+F30+F31+F32+F33*E33+F34*E34+F35+F36+F37+F38*E38+F39*E39+F40+F41*E41+F42*E42+F43*E43+F44*E44+F45*E45+F46+F47</f>
        <v>0</v>
      </c>
      <c r="G50" s="675"/>
      <c r="H50" s="675"/>
      <c r="I50" s="675"/>
      <c r="J50" s="675"/>
      <c r="K50" s="349"/>
      <c r="L50" s="349"/>
      <c r="T50" s="349"/>
      <c r="U50" s="349"/>
      <c r="V50" s="349"/>
    </row>
    <row r="51" spans="5:22" ht="13.5" hidden="1">
      <c r="E51" s="349"/>
      <c r="F51" s="675"/>
      <c r="G51" s="675"/>
      <c r="H51" s="675"/>
      <c r="I51" s="675"/>
      <c r="J51" s="675"/>
      <c r="K51" s="349"/>
      <c r="L51" s="349"/>
      <c r="T51" s="349"/>
      <c r="U51" s="349"/>
      <c r="V51" s="349"/>
    </row>
    <row r="52" spans="5:22" ht="13.5" hidden="1">
      <c r="E52" s="349"/>
      <c r="F52" s="675"/>
      <c r="G52" s="675"/>
      <c r="H52" s="675"/>
      <c r="I52" s="675"/>
      <c r="J52" s="675"/>
      <c r="K52" s="349"/>
      <c r="L52" s="349"/>
      <c r="T52" s="349"/>
      <c r="U52" s="349"/>
      <c r="V52" s="349"/>
    </row>
    <row r="53" spans="11:12" ht="13.5" hidden="1">
      <c r="K53" s="349"/>
      <c r="L53" s="349"/>
    </row>
    <row r="54" ht="13.5" hidden="1"/>
    <row r="55" ht="14.25" customHeight="1" hidden="1"/>
    <row r="56" ht="11.25" customHeight="1" hidden="1"/>
    <row r="57" ht="13.5" hidden="1"/>
    <row r="58" spans="1:22" ht="13.5" hidden="1">
      <c r="A58" s="1099" t="s">
        <v>400</v>
      </c>
      <c r="B58" s="1099"/>
      <c r="C58" s="1099"/>
      <c r="D58" s="1099"/>
      <c r="E58" s="1099"/>
      <c r="F58" s="1099"/>
      <c r="G58" s="1099"/>
      <c r="H58" s="1099"/>
      <c r="I58" s="1099"/>
      <c r="J58" s="1099"/>
      <c r="K58" s="1099"/>
      <c r="L58" s="1099"/>
      <c r="M58" s="1099"/>
      <c r="N58" s="1099"/>
      <c r="O58" s="1099"/>
      <c r="P58" s="1099"/>
      <c r="Q58" s="1099"/>
      <c r="R58" s="1099"/>
      <c r="S58" s="1099"/>
      <c r="T58" s="1099"/>
      <c r="U58" s="406"/>
      <c r="V58" s="406"/>
    </row>
    <row r="59" ht="18" customHeight="1" hidden="1"/>
    <row r="60" ht="12.75" customHeight="1" hidden="1"/>
    <row r="61" spans="1:22" ht="13.5" hidden="1">
      <c r="A61" s="1099"/>
      <c r="B61" s="1099"/>
      <c r="C61" s="1099"/>
      <c r="D61" s="1099"/>
      <c r="E61" s="1099"/>
      <c r="F61" s="1099"/>
      <c r="G61" s="1099"/>
      <c r="H61" s="1099"/>
      <c r="I61" s="1099"/>
      <c r="J61" s="1099"/>
      <c r="K61" s="1099"/>
      <c r="L61" s="1099"/>
      <c r="M61" s="1099"/>
      <c r="N61" s="1099"/>
      <c r="O61" s="1099"/>
      <c r="P61" s="1099"/>
      <c r="Q61" s="1099"/>
      <c r="R61" s="1099"/>
      <c r="S61" s="1099"/>
      <c r="T61" s="1099"/>
      <c r="U61" s="406"/>
      <c r="V61" s="406"/>
    </row>
    <row r="62" ht="13.5" hidden="1">
      <c r="B62" s="203" t="s">
        <v>401</v>
      </c>
    </row>
    <row r="63" ht="13.5" hidden="1"/>
    <row r="64" ht="13.5" hidden="1"/>
    <row r="65" spans="1:23" ht="20.25" customHeight="1">
      <c r="A65" s="197"/>
      <c r="B65" s="204"/>
      <c r="C65" s="217"/>
      <c r="D65" s="204"/>
      <c r="E65" s="204"/>
      <c r="F65" s="204"/>
      <c r="G65" s="218"/>
      <c r="H65" s="218"/>
      <c r="I65" s="218"/>
      <c r="J65" s="204"/>
      <c r="K65" s="201"/>
      <c r="L65" s="204"/>
      <c r="M65" s="204"/>
      <c r="N65" s="204"/>
      <c r="O65" s="204"/>
      <c r="P65" s="204"/>
      <c r="Q65" s="204"/>
      <c r="R65" s="202" t="s">
        <v>102</v>
      </c>
      <c r="S65" s="202" t="s">
        <v>102</v>
      </c>
      <c r="T65" s="457">
        <v>16</v>
      </c>
      <c r="U65" s="352"/>
      <c r="V65" s="202"/>
      <c r="W65" s="204"/>
    </row>
    <row r="66" spans="1:23" ht="35.25" customHeight="1">
      <c r="A66" s="197"/>
      <c r="B66" s="204"/>
      <c r="C66" s="217"/>
      <c r="D66" s="204"/>
      <c r="E66" s="204"/>
      <c r="F66" s="204"/>
      <c r="G66" s="218"/>
      <c r="H66" s="218"/>
      <c r="I66" s="218"/>
      <c r="J66" s="204"/>
      <c r="K66" s="201"/>
      <c r="L66" s="204"/>
      <c r="M66" s="204"/>
      <c r="N66" s="204"/>
      <c r="O66" s="204"/>
      <c r="P66" s="204"/>
      <c r="Q66" s="204"/>
      <c r="R66" s="457" t="s">
        <v>103</v>
      </c>
      <c r="S66" s="1132" t="s">
        <v>103</v>
      </c>
      <c r="T66" s="1132"/>
      <c r="U66" s="1132"/>
      <c r="V66" s="1132"/>
      <c r="W66" s="205"/>
    </row>
    <row r="67" spans="1:23" ht="20.25" customHeight="1">
      <c r="A67" s="197"/>
      <c r="B67" s="204"/>
      <c r="C67" s="217"/>
      <c r="D67" s="204"/>
      <c r="E67" s="204"/>
      <c r="F67" s="204"/>
      <c r="G67" s="218"/>
      <c r="H67" s="218"/>
      <c r="I67" s="218"/>
      <c r="J67" s="204"/>
      <c r="K67" s="201"/>
      <c r="L67" s="204"/>
      <c r="M67" s="204"/>
      <c r="N67" s="204"/>
      <c r="O67" s="204"/>
      <c r="P67" s="204"/>
      <c r="Q67" s="204"/>
      <c r="R67" s="1098" t="s">
        <v>104</v>
      </c>
      <c r="S67" s="1098"/>
      <c r="T67" s="1098"/>
      <c r="U67" s="206" t="s">
        <v>0</v>
      </c>
      <c r="V67" s="616"/>
      <c r="W67" s="676"/>
    </row>
    <row r="68" spans="1:23" ht="48" customHeight="1">
      <c r="A68" s="197"/>
      <c r="B68" s="204"/>
      <c r="C68" s="217"/>
      <c r="D68" s="204"/>
      <c r="E68" s="204"/>
      <c r="F68" s="204"/>
      <c r="G68" s="218"/>
      <c r="H68" s="218"/>
      <c r="I68" s="218"/>
      <c r="J68" s="204"/>
      <c r="K68" s="201"/>
      <c r="L68" s="204"/>
      <c r="M68" s="204"/>
      <c r="N68" s="204"/>
      <c r="O68" s="204"/>
      <c r="P68" s="204"/>
      <c r="Q68" s="204"/>
      <c r="R68" s="677" t="s">
        <v>402</v>
      </c>
      <c r="S68" s="1133" t="s">
        <v>403</v>
      </c>
      <c r="T68" s="1133"/>
      <c r="U68" s="1133"/>
      <c r="V68" s="1133"/>
      <c r="W68" s="676"/>
    </row>
    <row r="69" spans="1:27" ht="15" customHeight="1" hidden="1">
      <c r="A69" s="204"/>
      <c r="B69" s="204"/>
      <c r="C69" s="217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929"/>
      <c r="P69" s="929"/>
      <c r="Q69" s="929"/>
      <c r="R69" s="929"/>
      <c r="S69" s="929"/>
      <c r="T69" s="929"/>
      <c r="U69" s="929"/>
      <c r="V69" s="678"/>
      <c r="W69" s="678"/>
      <c r="X69" s="202"/>
      <c r="Y69" s="202"/>
      <c r="Z69" s="202"/>
      <c r="AA69" s="202"/>
    </row>
    <row r="70" spans="1:27" ht="61.5" customHeight="1" hidden="1">
      <c r="A70" s="204"/>
      <c r="B70" s="204"/>
      <c r="C70" s="217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1134"/>
      <c r="P70" s="1134"/>
      <c r="Q70" s="1134"/>
      <c r="R70" s="1134"/>
      <c r="S70" s="1134"/>
      <c r="T70" s="1134"/>
      <c r="U70" s="1134"/>
      <c r="V70" s="678"/>
      <c r="W70" s="678"/>
      <c r="X70" s="202"/>
      <c r="Y70" s="202"/>
      <c r="Z70" s="202"/>
      <c r="AA70" s="202"/>
    </row>
    <row r="71" spans="1:27" ht="21" customHeight="1" hidden="1">
      <c r="A71" s="204"/>
      <c r="B71" s="204"/>
      <c r="C71" s="217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680"/>
      <c r="P71" s="679"/>
      <c r="Q71" s="679"/>
      <c r="R71" s="679"/>
      <c r="S71" s="679"/>
      <c r="T71" s="679"/>
      <c r="U71" s="679"/>
      <c r="V71" s="206"/>
      <c r="W71" s="202"/>
      <c r="X71" s="202"/>
      <c r="Y71" s="202"/>
      <c r="Z71" s="202"/>
      <c r="AA71" s="202"/>
    </row>
    <row r="72" spans="1:27" ht="15" customHeight="1">
      <c r="A72" s="204"/>
      <c r="B72" s="204"/>
      <c r="C72" s="217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572"/>
      <c r="P72" s="572"/>
      <c r="Q72" s="572"/>
      <c r="R72" s="572"/>
      <c r="S72" s="681"/>
      <c r="T72" s="679"/>
      <c r="U72" s="679"/>
      <c r="V72" s="206"/>
      <c r="W72" s="202"/>
      <c r="X72" s="202"/>
      <c r="Y72" s="202"/>
      <c r="Z72" s="202"/>
      <c r="AA72" s="202"/>
    </row>
    <row r="73" spans="1:27" ht="15" customHeight="1">
      <c r="A73" s="204"/>
      <c r="B73" s="204"/>
      <c r="C73" s="217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682"/>
      <c r="P73" s="683"/>
      <c r="Q73" s="683"/>
      <c r="R73" s="683"/>
      <c r="S73" s="682"/>
      <c r="T73" s="677"/>
      <c r="U73" s="677"/>
      <c r="V73" s="677"/>
      <c r="W73" s="677"/>
      <c r="X73" s="202"/>
      <c r="Y73" s="202"/>
      <c r="Z73" s="202"/>
      <c r="AA73" s="202"/>
    </row>
    <row r="74" spans="1:27" ht="15">
      <c r="A74" s="204"/>
      <c r="B74" s="1030" t="s">
        <v>404</v>
      </c>
      <c r="C74" s="1030"/>
      <c r="D74" s="1030"/>
      <c r="E74" s="1030"/>
      <c r="F74" s="1030"/>
      <c r="G74" s="1030"/>
      <c r="H74" s="1030"/>
      <c r="I74" s="1030"/>
      <c r="J74" s="1030"/>
      <c r="K74" s="1030"/>
      <c r="L74" s="1030"/>
      <c r="M74" s="1030"/>
      <c r="N74" s="204"/>
      <c r="O74" s="198"/>
      <c r="P74" s="198"/>
      <c r="Q74" s="198"/>
      <c r="R74" s="198"/>
      <c r="S74" s="211"/>
      <c r="T74" s="211"/>
      <c r="U74" s="684"/>
      <c r="V74" s="211"/>
      <c r="W74" s="202"/>
      <c r="X74" s="202"/>
      <c r="Y74" s="202"/>
      <c r="Z74" s="202"/>
      <c r="AA74" s="202"/>
    </row>
    <row r="75" spans="1:22" ht="46.5" customHeight="1">
      <c r="A75" s="204"/>
      <c r="B75" s="1135" t="s">
        <v>405</v>
      </c>
      <c r="C75" s="1135"/>
      <c r="D75" s="1135"/>
      <c r="E75" s="1135"/>
      <c r="F75" s="1135"/>
      <c r="G75" s="1135"/>
      <c r="H75" s="1135"/>
      <c r="I75" s="1135"/>
      <c r="J75" s="1135"/>
      <c r="K75" s="1135"/>
      <c r="L75" s="1135"/>
      <c r="M75" s="1135"/>
      <c r="N75" s="204"/>
      <c r="O75" s="1136"/>
      <c r="P75" s="1136"/>
      <c r="Q75" s="1136"/>
      <c r="R75" s="1136"/>
      <c r="S75" s="1136"/>
      <c r="T75" s="1136"/>
      <c r="U75" s="198"/>
      <c r="V75" s="198"/>
    </row>
    <row r="76" spans="1:22" ht="15">
      <c r="A76" s="204"/>
      <c r="B76" s="215"/>
      <c r="C76" s="214"/>
      <c r="D76" s="215"/>
      <c r="E76" s="934" t="s">
        <v>7</v>
      </c>
      <c r="F76" s="934"/>
      <c r="G76" s="934"/>
      <c r="H76" s="934"/>
      <c r="I76" s="934"/>
      <c r="J76" s="352"/>
      <c r="K76" s="352"/>
      <c r="L76" s="352"/>
      <c r="M76" s="352"/>
      <c r="N76" s="204"/>
      <c r="O76" s="204"/>
      <c r="P76" s="204"/>
      <c r="Q76" s="204"/>
      <c r="R76" s="204"/>
      <c r="S76" s="204"/>
      <c r="T76" s="204"/>
      <c r="U76" s="204"/>
      <c r="V76" s="204"/>
    </row>
    <row r="77" spans="1:22" ht="10.5" customHeight="1">
      <c r="A77" s="204"/>
      <c r="B77" s="198"/>
      <c r="C77" s="199"/>
      <c r="D77" s="198"/>
      <c r="E77" s="198"/>
      <c r="F77" s="198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</row>
    <row r="78" spans="1:22" ht="15">
      <c r="A78" s="204"/>
      <c r="B78" s="215" t="s">
        <v>406</v>
      </c>
      <c r="C78" s="214"/>
      <c r="D78" s="215"/>
      <c r="E78" s="198"/>
      <c r="F78" s="198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</row>
    <row r="79" spans="1:22" ht="0.75" customHeight="1">
      <c r="A79" s="204"/>
      <c r="B79" s="204"/>
      <c r="C79" s="217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</row>
    <row r="80" spans="1:22" ht="12.75" customHeight="1">
      <c r="A80" s="981" t="s">
        <v>0</v>
      </c>
      <c r="B80" s="1137" t="s">
        <v>407</v>
      </c>
      <c r="C80" s="1140" t="s">
        <v>117</v>
      </c>
      <c r="D80" s="1140" t="s">
        <v>184</v>
      </c>
      <c r="E80" s="354" t="s">
        <v>2</v>
      </c>
      <c r="F80" s="1143" t="s">
        <v>34</v>
      </c>
      <c r="G80" s="940" t="s">
        <v>35</v>
      </c>
      <c r="H80" s="944" t="s">
        <v>58</v>
      </c>
      <c r="I80" s="944" t="s">
        <v>39</v>
      </c>
      <c r="J80" s="944" t="s">
        <v>408</v>
      </c>
      <c r="K80" s="981" t="s">
        <v>33</v>
      </c>
      <c r="L80" s="981"/>
      <c r="M80" s="1147" t="s">
        <v>5</v>
      </c>
      <c r="N80" s="1147"/>
      <c r="O80" s="1147"/>
      <c r="P80" s="1147"/>
      <c r="Q80" s="1147"/>
      <c r="R80" s="1147"/>
      <c r="S80" s="1147"/>
      <c r="T80" s="982" t="s">
        <v>100</v>
      </c>
      <c r="U80" s="983" t="s">
        <v>82</v>
      </c>
      <c r="V80" s="983" t="s">
        <v>292</v>
      </c>
    </row>
    <row r="81" spans="1:22" ht="12.75" customHeight="1">
      <c r="A81" s="981"/>
      <c r="B81" s="1138"/>
      <c r="C81" s="1141"/>
      <c r="D81" s="1141"/>
      <c r="E81" s="356" t="s">
        <v>3</v>
      </c>
      <c r="F81" s="1143"/>
      <c r="G81" s="940"/>
      <c r="H81" s="944"/>
      <c r="I81" s="944"/>
      <c r="J81" s="944"/>
      <c r="K81" s="962" t="s">
        <v>187</v>
      </c>
      <c r="L81" s="1029"/>
      <c r="M81" s="1029" t="s">
        <v>409</v>
      </c>
      <c r="N81" s="962" t="s">
        <v>410</v>
      </c>
      <c r="O81" s="1144" t="s">
        <v>411</v>
      </c>
      <c r="P81" s="962"/>
      <c r="Q81" s="1144" t="s">
        <v>20</v>
      </c>
      <c r="R81" s="1145"/>
      <c r="S81" s="1029" t="s">
        <v>412</v>
      </c>
      <c r="T81" s="982"/>
      <c r="U81" s="983"/>
      <c r="V81" s="983"/>
    </row>
    <row r="82" spans="1:22" ht="13.5">
      <c r="A82" s="981"/>
      <c r="B82" s="1138"/>
      <c r="C82" s="1141"/>
      <c r="D82" s="1141"/>
      <c r="E82" s="356" t="s">
        <v>4</v>
      </c>
      <c r="F82" s="1143"/>
      <c r="G82" s="940"/>
      <c r="H82" s="944"/>
      <c r="I82" s="944"/>
      <c r="J82" s="944"/>
      <c r="K82" s="962"/>
      <c r="L82" s="1029"/>
      <c r="M82" s="1029"/>
      <c r="N82" s="962"/>
      <c r="O82" s="1144"/>
      <c r="P82" s="962"/>
      <c r="Q82" s="1144"/>
      <c r="R82" s="1144"/>
      <c r="S82" s="1029"/>
      <c r="T82" s="982"/>
      <c r="U82" s="983"/>
      <c r="V82" s="983"/>
    </row>
    <row r="83" spans="1:22" ht="13.5">
      <c r="A83" s="302"/>
      <c r="B83" s="1138"/>
      <c r="C83" s="1141"/>
      <c r="D83" s="1141"/>
      <c r="E83" s="356"/>
      <c r="F83" s="1143"/>
      <c r="G83" s="940"/>
      <c r="H83" s="944"/>
      <c r="I83" s="944"/>
      <c r="J83" s="944"/>
      <c r="K83" s="962"/>
      <c r="L83" s="1029"/>
      <c r="M83" s="1029"/>
      <c r="N83" s="962"/>
      <c r="O83" s="1144"/>
      <c r="P83" s="962"/>
      <c r="Q83" s="1144"/>
      <c r="R83" s="1144"/>
      <c r="S83" s="1029"/>
      <c r="T83" s="982"/>
      <c r="U83" s="983"/>
      <c r="V83" s="983"/>
    </row>
    <row r="84" spans="1:22" ht="87.75" customHeight="1">
      <c r="A84" s="302"/>
      <c r="B84" s="1139"/>
      <c r="C84" s="1142"/>
      <c r="D84" s="1142"/>
      <c r="E84" s="298"/>
      <c r="F84" s="1143"/>
      <c r="G84" s="940"/>
      <c r="H84" s="944"/>
      <c r="I84" s="944"/>
      <c r="J84" s="944"/>
      <c r="K84" s="962"/>
      <c r="L84" s="1029"/>
      <c r="M84" s="1029"/>
      <c r="N84" s="962"/>
      <c r="O84" s="1144"/>
      <c r="P84" s="962"/>
      <c r="Q84" s="1144"/>
      <c r="R84" s="1144"/>
      <c r="S84" s="1029"/>
      <c r="T84" s="982"/>
      <c r="U84" s="983"/>
      <c r="V84" s="983"/>
    </row>
    <row r="85" spans="1:22" ht="15">
      <c r="A85" s="302">
        <v>1</v>
      </c>
      <c r="B85" s="454" t="s">
        <v>413</v>
      </c>
      <c r="C85" s="222" t="s">
        <v>118</v>
      </c>
      <c r="D85" s="454"/>
      <c r="E85" s="222">
        <v>1</v>
      </c>
      <c r="F85" s="685">
        <v>8071</v>
      </c>
      <c r="G85" s="686">
        <v>16</v>
      </c>
      <c r="H85" s="687">
        <f>F85*E85</f>
        <v>8071</v>
      </c>
      <c r="I85" s="687">
        <f aca="true" t="shared" si="4" ref="I85:I90">H85*10%</f>
        <v>807.1</v>
      </c>
      <c r="J85" s="687"/>
      <c r="K85" s="249">
        <f>(F85+I85)*30%</f>
        <v>2663.43</v>
      </c>
      <c r="L85" s="249"/>
      <c r="M85" s="249"/>
      <c r="N85" s="248">
        <f>(H85+I85)*10%</f>
        <v>887.8100000000001</v>
      </c>
      <c r="O85" s="249"/>
      <c r="P85" s="249"/>
      <c r="Q85" s="249"/>
      <c r="R85" s="249"/>
      <c r="S85" s="249"/>
      <c r="T85" s="249"/>
      <c r="U85" s="249">
        <f>H85+I85+K85+M85+N85+O85+Q85+S85+T85</f>
        <v>12429.34</v>
      </c>
      <c r="V85" s="249">
        <f aca="true" t="shared" si="5" ref="V85:V90">(U85*12)*1.168+H85+H85*5%</f>
        <v>182684.17944</v>
      </c>
    </row>
    <row r="86" spans="1:22" ht="63.75" customHeight="1">
      <c r="A86" s="302">
        <v>2</v>
      </c>
      <c r="B86" s="241" t="s">
        <v>414</v>
      </c>
      <c r="C86" s="242" t="s">
        <v>118</v>
      </c>
      <c r="D86" s="241"/>
      <c r="E86" s="242">
        <v>1</v>
      </c>
      <c r="F86" s="688">
        <f>F85*95%</f>
        <v>7667.45</v>
      </c>
      <c r="G86" s="689" t="s">
        <v>415</v>
      </c>
      <c r="H86" s="687">
        <f aca="true" t="shared" si="6" ref="H86:H104">F86*E86</f>
        <v>7667.45</v>
      </c>
      <c r="I86" s="687">
        <f t="shared" si="4"/>
        <v>766.745</v>
      </c>
      <c r="J86" s="687"/>
      <c r="K86" s="690">
        <f>(F86+I86)*30%</f>
        <v>2530.2585</v>
      </c>
      <c r="L86" s="246"/>
      <c r="M86" s="690"/>
      <c r="N86" s="481">
        <f>(H86+I86)*10%</f>
        <v>843.4195</v>
      </c>
      <c r="O86" s="690"/>
      <c r="P86" s="246"/>
      <c r="Q86" s="246"/>
      <c r="R86" s="246"/>
      <c r="S86" s="246"/>
      <c r="T86" s="690"/>
      <c r="U86" s="690">
        <f>H86+I86+K86+M86+N86+O86+Q86+S86+T86</f>
        <v>11807.873</v>
      </c>
      <c r="V86" s="249">
        <f t="shared" si="5"/>
        <v>173549.97046799998</v>
      </c>
    </row>
    <row r="87" spans="1:22" ht="15" hidden="1">
      <c r="A87" s="302"/>
      <c r="B87" s="691"/>
      <c r="C87" s="692"/>
      <c r="D87" s="691"/>
      <c r="E87" s="692"/>
      <c r="F87" s="693"/>
      <c r="G87" s="694"/>
      <c r="H87" s="695">
        <f t="shared" si="6"/>
        <v>0</v>
      </c>
      <c r="I87" s="695">
        <f t="shared" si="4"/>
        <v>0</v>
      </c>
      <c r="J87" s="695"/>
      <c r="K87" s="696">
        <f>(F87+I87)*20%</f>
        <v>0</v>
      </c>
      <c r="L87" s="696"/>
      <c r="M87" s="696"/>
      <c r="N87" s="439">
        <f>(H87+I87)*10%</f>
        <v>0</v>
      </c>
      <c r="O87" s="696"/>
      <c r="P87" s="696"/>
      <c r="Q87" s="696"/>
      <c r="R87" s="696"/>
      <c r="S87" s="696"/>
      <c r="T87" s="696"/>
      <c r="U87" s="258">
        <f>H87+I87+K87+M87+N87+O87+Q87+S87+T87</f>
        <v>0</v>
      </c>
      <c r="V87" s="249">
        <f t="shared" si="5"/>
        <v>0</v>
      </c>
    </row>
    <row r="88" spans="1:30" ht="24" customHeight="1">
      <c r="A88" s="302">
        <v>3</v>
      </c>
      <c r="B88" s="429" t="s">
        <v>416</v>
      </c>
      <c r="C88" s="430" t="s">
        <v>205</v>
      </c>
      <c r="D88" s="429"/>
      <c r="E88" s="222">
        <v>1</v>
      </c>
      <c r="F88" s="697">
        <v>5699</v>
      </c>
      <c r="G88" s="686">
        <v>11</v>
      </c>
      <c r="H88" s="687">
        <f t="shared" si="6"/>
        <v>5699</v>
      </c>
      <c r="I88" s="687">
        <f t="shared" si="4"/>
        <v>569.9</v>
      </c>
      <c r="J88" s="687"/>
      <c r="K88" s="690">
        <f>(F88+I88)*10%</f>
        <v>626.89</v>
      </c>
      <c r="L88" s="690"/>
      <c r="M88" s="690"/>
      <c r="N88" s="481">
        <f>(H88+I88)*10%</f>
        <v>626.89</v>
      </c>
      <c r="O88" s="690"/>
      <c r="P88" s="690"/>
      <c r="Q88" s="690"/>
      <c r="R88" s="690"/>
      <c r="S88" s="690"/>
      <c r="T88" s="690"/>
      <c r="U88" s="690">
        <f>H88+I88+K88+M88+N88+O88+Q88+S88+T88</f>
        <v>7522.68</v>
      </c>
      <c r="V88" s="249">
        <f t="shared" si="5"/>
        <v>111421.83288</v>
      </c>
      <c r="AB88" s="349"/>
      <c r="AC88" s="349"/>
      <c r="AD88" s="349"/>
    </row>
    <row r="89" spans="1:22" ht="15">
      <c r="A89" s="302">
        <v>4</v>
      </c>
      <c r="B89" s="454" t="s">
        <v>230</v>
      </c>
      <c r="C89" s="222" t="s">
        <v>205</v>
      </c>
      <c r="D89" s="454"/>
      <c r="E89" s="222">
        <v>1</v>
      </c>
      <c r="F89" s="685">
        <v>6133</v>
      </c>
      <c r="G89" s="686">
        <v>12</v>
      </c>
      <c r="H89" s="687">
        <f t="shared" si="6"/>
        <v>6133</v>
      </c>
      <c r="I89" s="687">
        <f t="shared" si="4"/>
        <v>613.3000000000001</v>
      </c>
      <c r="J89" s="687"/>
      <c r="K89" s="690">
        <f>(F89+I89)*20%</f>
        <v>1349.2600000000002</v>
      </c>
      <c r="L89" s="249"/>
      <c r="M89" s="249"/>
      <c r="N89" s="248">
        <f>(H89+I89)*10%</f>
        <v>674.6300000000001</v>
      </c>
      <c r="O89" s="249"/>
      <c r="P89" s="249"/>
      <c r="Q89" s="249"/>
      <c r="R89" s="249"/>
      <c r="S89" s="249"/>
      <c r="T89" s="249"/>
      <c r="U89" s="249">
        <f>H89+I89+K89+M89+N89+O89+Q89+S89+T89</f>
        <v>8770.19</v>
      </c>
      <c r="V89" s="249">
        <f t="shared" si="5"/>
        <v>129362.63303999999</v>
      </c>
    </row>
    <row r="90" spans="1:22" ht="18.75" customHeight="1" thickBot="1">
      <c r="A90" s="321">
        <v>5</v>
      </c>
      <c r="B90" s="220" t="s">
        <v>417</v>
      </c>
      <c r="C90" s="222" t="s">
        <v>211</v>
      </c>
      <c r="D90" s="220"/>
      <c r="E90" s="698">
        <v>20.28</v>
      </c>
      <c r="F90" s="699"/>
      <c r="G90" s="700"/>
      <c r="H90" s="701">
        <v>113802.94</v>
      </c>
      <c r="I90" s="701">
        <f t="shared" si="4"/>
        <v>11380.294000000002</v>
      </c>
      <c r="J90" s="701">
        <v>1266.44</v>
      </c>
      <c r="K90" s="271">
        <v>21758.02</v>
      </c>
      <c r="L90" s="702"/>
      <c r="M90" s="271"/>
      <c r="N90" s="297">
        <v>12518.33</v>
      </c>
      <c r="O90" s="271"/>
      <c r="P90" s="271"/>
      <c r="Q90" s="271"/>
      <c r="R90" s="271"/>
      <c r="S90" s="271"/>
      <c r="T90" s="271">
        <v>731.89</v>
      </c>
      <c r="U90" s="271">
        <f>H90+I90+K90+M90+N90+O90+Q90+S90+T90+J90</f>
        <v>161457.914</v>
      </c>
      <c r="V90" s="249">
        <f t="shared" si="5"/>
        <v>2382487.2096239994</v>
      </c>
    </row>
    <row r="91" spans="1:22" ht="20.25" customHeight="1" thickBot="1">
      <c r="A91" s="703"/>
      <c r="B91" s="333" t="s">
        <v>418</v>
      </c>
      <c r="C91" s="704"/>
      <c r="D91" s="333"/>
      <c r="E91" s="705">
        <f>E85+E86+E88+E89+E90</f>
        <v>24.28</v>
      </c>
      <c r="F91" s="705"/>
      <c r="G91" s="705"/>
      <c r="H91" s="705">
        <f>H85+H86+H88+H89+H90</f>
        <v>141373.39</v>
      </c>
      <c r="I91" s="705">
        <f aca="true" t="shared" si="7" ref="I91:T91">I85+I86+I88+I89+I90</f>
        <v>14137.339000000002</v>
      </c>
      <c r="J91" s="705">
        <f t="shared" si="7"/>
        <v>1266.44</v>
      </c>
      <c r="K91" s="705">
        <f t="shared" si="7"/>
        <v>28927.858500000002</v>
      </c>
      <c r="L91" s="706">
        <f t="shared" si="7"/>
        <v>0</v>
      </c>
      <c r="M91" s="705">
        <f t="shared" si="7"/>
        <v>0</v>
      </c>
      <c r="N91" s="705">
        <f t="shared" si="7"/>
        <v>15551.0795</v>
      </c>
      <c r="O91" s="705">
        <f t="shared" si="7"/>
        <v>0</v>
      </c>
      <c r="P91" s="705">
        <f t="shared" si="7"/>
        <v>0</v>
      </c>
      <c r="Q91" s="705">
        <f t="shared" si="7"/>
        <v>0</v>
      </c>
      <c r="R91" s="705">
        <f t="shared" si="7"/>
        <v>0</v>
      </c>
      <c r="S91" s="705">
        <f t="shared" si="7"/>
        <v>0</v>
      </c>
      <c r="T91" s="705">
        <f t="shared" si="7"/>
        <v>731.89</v>
      </c>
      <c r="U91" s="282">
        <f>H91+I91+K91+M91+N91+O91+Q91+S91+T91+J91</f>
        <v>201987.99700000003</v>
      </c>
      <c r="V91" s="707">
        <f>SUM(V85:V90)</f>
        <v>2979505.8254519994</v>
      </c>
    </row>
    <row r="92" spans="1:22" ht="15">
      <c r="A92" s="299">
        <v>6</v>
      </c>
      <c r="B92" s="708" t="s">
        <v>419</v>
      </c>
      <c r="C92" s="709" t="s">
        <v>420</v>
      </c>
      <c r="D92" s="708"/>
      <c r="E92" s="709">
        <v>1</v>
      </c>
      <c r="F92" s="710">
        <v>5005</v>
      </c>
      <c r="G92" s="233">
        <v>9</v>
      </c>
      <c r="H92" s="711">
        <f t="shared" si="6"/>
        <v>5005</v>
      </c>
      <c r="I92" s="711"/>
      <c r="J92" s="711"/>
      <c r="K92" s="238"/>
      <c r="L92" s="238"/>
      <c r="M92" s="238">
        <f>F92*50%</f>
        <v>2502.5</v>
      </c>
      <c r="N92" s="470"/>
      <c r="O92" s="238">
        <f>(F92+M92)*30%</f>
        <v>2252.25</v>
      </c>
      <c r="P92" s="238"/>
      <c r="Q92" s="238"/>
      <c r="R92" s="238"/>
      <c r="S92" s="238"/>
      <c r="T92" s="238"/>
      <c r="U92" s="238">
        <f aca="true" t="shared" si="8" ref="U92:U104">H92+I92+K92+M92+N92+O92+Q92+S92+T92</f>
        <v>9759.75</v>
      </c>
      <c r="V92" s="238">
        <f>(U92*12)*1.168+F92</f>
        <v>141797.656</v>
      </c>
    </row>
    <row r="93" spans="1:28" ht="57.75" customHeight="1">
      <c r="A93" s="302">
        <v>7</v>
      </c>
      <c r="B93" s="241" t="s">
        <v>421</v>
      </c>
      <c r="C93" s="242">
        <v>1239</v>
      </c>
      <c r="D93" s="241"/>
      <c r="E93" s="222">
        <v>1</v>
      </c>
      <c r="F93" s="290">
        <f>F85*85%</f>
        <v>6860.349999999999</v>
      </c>
      <c r="G93" s="712" t="s">
        <v>422</v>
      </c>
      <c r="H93" s="713">
        <f t="shared" si="6"/>
        <v>6860.349999999999</v>
      </c>
      <c r="I93" s="687"/>
      <c r="J93" s="687"/>
      <c r="K93" s="249"/>
      <c r="L93" s="249"/>
      <c r="M93" s="249">
        <f>H93*15%</f>
        <v>1029.0524999999998</v>
      </c>
      <c r="N93" s="290"/>
      <c r="O93" s="249"/>
      <c r="P93" s="249"/>
      <c r="Q93" s="249"/>
      <c r="R93" s="249"/>
      <c r="S93" s="249"/>
      <c r="T93" s="238"/>
      <c r="U93" s="249">
        <f>H93+I93+K93+M93+N93+O93+Q93+S93+T93</f>
        <v>7889.402499999999</v>
      </c>
      <c r="V93" s="238">
        <f aca="true" t="shared" si="9" ref="V93:V104">(U93*12)*1.168+F93</f>
        <v>117438.21543999999</v>
      </c>
      <c r="W93" s="349"/>
      <c r="AB93" s="349"/>
    </row>
    <row r="94" spans="1:23" ht="15" hidden="1">
      <c r="A94" s="302"/>
      <c r="B94" s="241"/>
      <c r="C94" s="242"/>
      <c r="D94" s="241"/>
      <c r="E94" s="369"/>
      <c r="F94" s="389"/>
      <c r="G94" s="714"/>
      <c r="H94" s="715">
        <f t="shared" si="6"/>
        <v>0</v>
      </c>
      <c r="I94" s="716"/>
      <c r="J94" s="716"/>
      <c r="K94" s="717"/>
      <c r="L94" s="717"/>
      <c r="M94" s="717"/>
      <c r="N94" s="718"/>
      <c r="O94" s="717"/>
      <c r="P94" s="717"/>
      <c r="Q94" s="717"/>
      <c r="R94" s="717"/>
      <c r="S94" s="717"/>
      <c r="T94" s="719">
        <f>4173*E94-K94-M94-N94-O94-H94-I94</f>
        <v>0</v>
      </c>
      <c r="U94" s="717">
        <f t="shared" si="8"/>
        <v>0</v>
      </c>
      <c r="V94" s="238">
        <f t="shared" si="9"/>
        <v>0</v>
      </c>
      <c r="W94" s="349"/>
    </row>
    <row r="95" spans="1:23" ht="15" hidden="1">
      <c r="A95" s="302">
        <v>9</v>
      </c>
      <c r="B95" s="454"/>
      <c r="C95" s="222"/>
      <c r="D95" s="454"/>
      <c r="E95" s="222"/>
      <c r="F95" s="685"/>
      <c r="G95" s="720"/>
      <c r="H95" s="715">
        <f t="shared" si="6"/>
        <v>0</v>
      </c>
      <c r="I95" s="716"/>
      <c r="J95" s="716"/>
      <c r="K95" s="717"/>
      <c r="L95" s="717"/>
      <c r="M95" s="717"/>
      <c r="N95" s="718"/>
      <c r="O95" s="717"/>
      <c r="P95" s="717"/>
      <c r="Q95" s="717"/>
      <c r="R95" s="717"/>
      <c r="S95" s="717"/>
      <c r="T95" s="719">
        <f>4173*E95-K95-M95-N95-O95-H95-I95</f>
        <v>0</v>
      </c>
      <c r="U95" s="717">
        <f t="shared" si="8"/>
        <v>0</v>
      </c>
      <c r="V95" s="238">
        <f t="shared" si="9"/>
        <v>0</v>
      </c>
      <c r="W95" s="349"/>
    </row>
    <row r="96" spans="1:22" ht="15" hidden="1">
      <c r="A96" s="302">
        <v>10</v>
      </c>
      <c r="B96" s="454"/>
      <c r="C96" s="222"/>
      <c r="D96" s="454"/>
      <c r="E96" s="222"/>
      <c r="F96" s="685"/>
      <c r="G96" s="720"/>
      <c r="H96" s="715">
        <f t="shared" si="6"/>
        <v>0</v>
      </c>
      <c r="I96" s="716"/>
      <c r="J96" s="716"/>
      <c r="K96" s="717"/>
      <c r="L96" s="717"/>
      <c r="M96" s="717"/>
      <c r="N96" s="718"/>
      <c r="O96" s="717"/>
      <c r="P96" s="717"/>
      <c r="Q96" s="717"/>
      <c r="R96" s="717"/>
      <c r="S96" s="717"/>
      <c r="T96" s="719">
        <f>4173*E96-K96-M96-N96-O96-H96-I96</f>
        <v>0</v>
      </c>
      <c r="U96" s="717">
        <f t="shared" si="8"/>
        <v>0</v>
      </c>
      <c r="V96" s="238">
        <f t="shared" si="9"/>
        <v>0</v>
      </c>
    </row>
    <row r="97" spans="1:22" ht="15" hidden="1">
      <c r="A97" s="302">
        <v>11</v>
      </c>
      <c r="B97" s="241"/>
      <c r="C97" s="242"/>
      <c r="D97" s="241"/>
      <c r="E97" s="222"/>
      <c r="F97" s="685"/>
      <c r="G97" s="720"/>
      <c r="H97" s="715">
        <f t="shared" si="6"/>
        <v>0</v>
      </c>
      <c r="I97" s="716"/>
      <c r="J97" s="716"/>
      <c r="K97" s="717"/>
      <c r="L97" s="717"/>
      <c r="M97" s="717"/>
      <c r="N97" s="718"/>
      <c r="O97" s="717"/>
      <c r="P97" s="717"/>
      <c r="Q97" s="717"/>
      <c r="R97" s="717"/>
      <c r="S97" s="717"/>
      <c r="T97" s="719">
        <f>4173*E97-K97-M97-N97-O97-H97-I97</f>
        <v>0</v>
      </c>
      <c r="U97" s="717">
        <f t="shared" si="8"/>
        <v>0</v>
      </c>
      <c r="V97" s="238">
        <f t="shared" si="9"/>
        <v>0</v>
      </c>
    </row>
    <row r="98" spans="1:22" ht="15" hidden="1">
      <c r="A98" s="302">
        <v>12</v>
      </c>
      <c r="B98" s="454"/>
      <c r="C98" s="222"/>
      <c r="D98" s="454"/>
      <c r="E98" s="222"/>
      <c r="F98" s="685"/>
      <c r="G98" s="720"/>
      <c r="H98" s="715">
        <f t="shared" si="6"/>
        <v>0</v>
      </c>
      <c r="I98" s="716"/>
      <c r="J98" s="716"/>
      <c r="K98" s="717"/>
      <c r="L98" s="717"/>
      <c r="M98" s="717"/>
      <c r="N98" s="718"/>
      <c r="O98" s="717"/>
      <c r="P98" s="717"/>
      <c r="Q98" s="717"/>
      <c r="R98" s="717"/>
      <c r="S98" s="717"/>
      <c r="T98" s="719">
        <f>4173*E98-K98-M98-N98-O98-H98-I98</f>
        <v>0</v>
      </c>
      <c r="U98" s="717">
        <f t="shared" si="8"/>
        <v>0</v>
      </c>
      <c r="V98" s="238">
        <f t="shared" si="9"/>
        <v>0</v>
      </c>
    </row>
    <row r="99" spans="1:28" ht="46.5">
      <c r="A99" s="302">
        <v>8</v>
      </c>
      <c r="B99" s="429" t="s">
        <v>332</v>
      </c>
      <c r="C99" s="430">
        <v>7129</v>
      </c>
      <c r="D99" s="429"/>
      <c r="E99" s="222">
        <v>1</v>
      </c>
      <c r="F99" s="685">
        <v>3674</v>
      </c>
      <c r="G99" s="721">
        <v>4</v>
      </c>
      <c r="H99" s="713">
        <f t="shared" si="6"/>
        <v>3674</v>
      </c>
      <c r="I99" s="687"/>
      <c r="J99" s="687"/>
      <c r="K99" s="249"/>
      <c r="L99" s="249"/>
      <c r="M99" s="249"/>
      <c r="N99" s="290"/>
      <c r="O99" s="249"/>
      <c r="P99" s="249"/>
      <c r="Q99" s="249"/>
      <c r="R99" s="249"/>
      <c r="S99" s="249"/>
      <c r="T99" s="238">
        <f aca="true" t="shared" si="10" ref="T99:T104">6700*E99-K99-M99-N99-O99-H99-I99</f>
        <v>3026</v>
      </c>
      <c r="U99" s="249">
        <f t="shared" si="8"/>
        <v>6700</v>
      </c>
      <c r="V99" s="238">
        <f t="shared" si="9"/>
        <v>97581.2</v>
      </c>
      <c r="AB99" s="349"/>
    </row>
    <row r="100" spans="1:22" ht="15">
      <c r="A100" s="302">
        <v>9</v>
      </c>
      <c r="B100" s="454" t="s">
        <v>10</v>
      </c>
      <c r="C100" s="222">
        <v>9152</v>
      </c>
      <c r="D100" s="454"/>
      <c r="E100" s="222">
        <f>8.25-3</f>
        <v>5.25</v>
      </c>
      <c r="F100" s="685">
        <v>3153</v>
      </c>
      <c r="G100" s="721">
        <v>2</v>
      </c>
      <c r="H100" s="687">
        <f>F100*E100</f>
        <v>16553.25</v>
      </c>
      <c r="I100" s="687"/>
      <c r="J100" s="687"/>
      <c r="K100" s="249"/>
      <c r="L100" s="249"/>
      <c r="M100" s="249"/>
      <c r="N100" s="290"/>
      <c r="O100" s="249"/>
      <c r="P100" s="249"/>
      <c r="Q100" s="249"/>
      <c r="R100" s="249"/>
      <c r="S100" s="290">
        <f>F100*40%*E100</f>
        <v>6621.3</v>
      </c>
      <c r="T100" s="238">
        <f t="shared" si="10"/>
        <v>18621.75</v>
      </c>
      <c r="U100" s="249">
        <f t="shared" si="8"/>
        <v>41796.3</v>
      </c>
      <c r="V100" s="238">
        <f t="shared" si="9"/>
        <v>588969.9408</v>
      </c>
    </row>
    <row r="101" spans="1:22" ht="30.75">
      <c r="A101" s="302">
        <v>10</v>
      </c>
      <c r="B101" s="429" t="s">
        <v>423</v>
      </c>
      <c r="C101" s="430">
        <v>9132</v>
      </c>
      <c r="D101" s="429"/>
      <c r="E101" s="222">
        <v>5</v>
      </c>
      <c r="F101" s="685">
        <v>3153</v>
      </c>
      <c r="G101" s="721">
        <v>2</v>
      </c>
      <c r="H101" s="687">
        <f>F101*E101</f>
        <v>15765</v>
      </c>
      <c r="I101" s="687"/>
      <c r="J101" s="687"/>
      <c r="K101" s="249"/>
      <c r="L101" s="249"/>
      <c r="M101" s="249"/>
      <c r="N101" s="290"/>
      <c r="O101" s="249"/>
      <c r="P101" s="249"/>
      <c r="Q101" s="290">
        <f>SUM(F101*5*0.1)</f>
        <v>1576.5</v>
      </c>
      <c r="R101" s="249"/>
      <c r="S101" s="330"/>
      <c r="T101" s="238">
        <f t="shared" si="10"/>
        <v>17735</v>
      </c>
      <c r="U101" s="249">
        <f t="shared" si="8"/>
        <v>35076.5</v>
      </c>
      <c r="V101" s="238">
        <f t="shared" si="9"/>
        <v>494785.224</v>
      </c>
    </row>
    <row r="102" spans="1:29" ht="15">
      <c r="A102" s="302">
        <v>11</v>
      </c>
      <c r="B102" s="454" t="s">
        <v>424</v>
      </c>
      <c r="C102" s="222">
        <v>4190</v>
      </c>
      <c r="D102" s="454"/>
      <c r="E102" s="222">
        <v>0.5</v>
      </c>
      <c r="F102" s="685">
        <v>2893</v>
      </c>
      <c r="G102" s="721">
        <v>1</v>
      </c>
      <c r="H102" s="687">
        <f t="shared" si="6"/>
        <v>1446.5</v>
      </c>
      <c r="I102" s="687"/>
      <c r="J102" s="687"/>
      <c r="K102" s="249"/>
      <c r="L102" s="249"/>
      <c r="M102" s="249"/>
      <c r="N102" s="290"/>
      <c r="O102" s="249"/>
      <c r="P102" s="249"/>
      <c r="Q102" s="290"/>
      <c r="R102" s="249"/>
      <c r="S102" s="330"/>
      <c r="T102" s="238">
        <f t="shared" si="10"/>
        <v>1903.5</v>
      </c>
      <c r="U102" s="249">
        <f t="shared" si="8"/>
        <v>3350</v>
      </c>
      <c r="V102" s="238">
        <f t="shared" si="9"/>
        <v>49846.6</v>
      </c>
      <c r="AC102" s="349"/>
    </row>
    <row r="103" spans="1:22" ht="15">
      <c r="A103" s="302">
        <v>12</v>
      </c>
      <c r="B103" s="454" t="s">
        <v>425</v>
      </c>
      <c r="C103" s="222">
        <v>8290</v>
      </c>
      <c r="D103" s="454"/>
      <c r="E103" s="222">
        <v>0.5</v>
      </c>
      <c r="F103" s="685">
        <v>3153</v>
      </c>
      <c r="G103" s="721">
        <v>2</v>
      </c>
      <c r="H103" s="687">
        <f t="shared" si="6"/>
        <v>1576.5</v>
      </c>
      <c r="I103" s="687"/>
      <c r="J103" s="687"/>
      <c r="K103" s="249"/>
      <c r="L103" s="249"/>
      <c r="M103" s="249"/>
      <c r="N103" s="290"/>
      <c r="O103" s="249"/>
      <c r="P103" s="249"/>
      <c r="Q103" s="290"/>
      <c r="R103" s="249"/>
      <c r="S103" s="330"/>
      <c r="T103" s="238">
        <f t="shared" si="10"/>
        <v>1773.5</v>
      </c>
      <c r="U103" s="249">
        <f t="shared" si="8"/>
        <v>3350</v>
      </c>
      <c r="V103" s="238">
        <f t="shared" si="9"/>
        <v>50106.6</v>
      </c>
    </row>
    <row r="104" spans="1:22" ht="15">
      <c r="A104" s="301">
        <v>13</v>
      </c>
      <c r="B104" s="454" t="s">
        <v>56</v>
      </c>
      <c r="C104" s="222">
        <v>9162</v>
      </c>
      <c r="D104" s="454"/>
      <c r="E104" s="222">
        <f>2-1</f>
        <v>1</v>
      </c>
      <c r="F104" s="685">
        <v>2893</v>
      </c>
      <c r="G104" s="721">
        <v>1</v>
      </c>
      <c r="H104" s="687">
        <f t="shared" si="6"/>
        <v>2893</v>
      </c>
      <c r="I104" s="687"/>
      <c r="J104" s="687"/>
      <c r="K104" s="249"/>
      <c r="L104" s="249"/>
      <c r="M104" s="249"/>
      <c r="N104" s="290"/>
      <c r="O104" s="249"/>
      <c r="P104" s="249"/>
      <c r="Q104" s="290"/>
      <c r="R104" s="249"/>
      <c r="S104" s="330"/>
      <c r="T104" s="238">
        <f t="shared" si="10"/>
        <v>3807</v>
      </c>
      <c r="U104" s="249">
        <f t="shared" si="8"/>
        <v>6700</v>
      </c>
      <c r="V104" s="238">
        <f t="shared" si="9"/>
        <v>96800.2</v>
      </c>
    </row>
    <row r="105" spans="1:22" ht="15.75" customHeight="1" hidden="1">
      <c r="A105" s="374"/>
      <c r="B105" s="241"/>
      <c r="C105" s="242"/>
      <c r="D105" s="241"/>
      <c r="E105" s="249"/>
      <c r="F105" s="685"/>
      <c r="G105" s="722"/>
      <c r="H105" s="723"/>
      <c r="I105" s="723"/>
      <c r="J105" s="723"/>
      <c r="K105" s="249"/>
      <c r="L105" s="249"/>
      <c r="M105" s="249"/>
      <c r="N105" s="290"/>
      <c r="O105" s="249"/>
      <c r="P105" s="249"/>
      <c r="Q105" s="290"/>
      <c r="R105" s="249"/>
      <c r="S105" s="330"/>
      <c r="T105" s="238">
        <f>6500*E105-K105-M105-N105-O105-H105-I105</f>
        <v>0</v>
      </c>
      <c r="U105" s="249"/>
      <c r="V105" s="238">
        <f>U105*9+U105*1.031*3+H105</f>
        <v>0</v>
      </c>
    </row>
    <row r="106" spans="1:22" ht="23.25" customHeight="1">
      <c r="A106" s="374"/>
      <c r="B106" s="454" t="s">
        <v>6</v>
      </c>
      <c r="C106" s="222"/>
      <c r="D106" s="454"/>
      <c r="E106" s="248">
        <f>E91+E92+E93+E99+E100+E101+E102+E103+E104</f>
        <v>39.53</v>
      </c>
      <c r="F106" s="248"/>
      <c r="G106" s="248"/>
      <c r="H106" s="248">
        <f>H91+H92+H93+H99+H100+H101+H102+H103+H104</f>
        <v>195146.99000000002</v>
      </c>
      <c r="I106" s="248">
        <f aca="true" t="shared" si="11" ref="I106:R106">I91+I92+I93+I99+I100+I101+I102+I103+I104</f>
        <v>14137.339000000002</v>
      </c>
      <c r="J106" s="248">
        <f t="shared" si="11"/>
        <v>1266.44</v>
      </c>
      <c r="K106" s="248">
        <f t="shared" si="11"/>
        <v>28927.858500000002</v>
      </c>
      <c r="L106" s="248"/>
      <c r="M106" s="248">
        <f>M91+M92+M93+M99+M100+M101+M102+M103+M104</f>
        <v>3531.5525</v>
      </c>
      <c r="N106" s="248">
        <f>N91+N92+N93+N99+N100+N101+N102+N103+N104</f>
        <v>15551.0795</v>
      </c>
      <c r="O106" s="248">
        <f t="shared" si="11"/>
        <v>2252.25</v>
      </c>
      <c r="P106" s="248"/>
      <c r="Q106" s="248">
        <f t="shared" si="11"/>
        <v>1576.5</v>
      </c>
      <c r="R106" s="248">
        <f t="shared" si="11"/>
        <v>0</v>
      </c>
      <c r="S106" s="248">
        <f>S91+S92+S93+S99+S100+S101+S102+S103+S104</f>
        <v>6621.3</v>
      </c>
      <c r="T106" s="248">
        <f>T91+T92+T93+T99+T100+T101+T102+T103+T104</f>
        <v>47598.64</v>
      </c>
      <c r="U106" s="248">
        <f>U91+U92+U93+U99+U100+U101+U102+U103+U104</f>
        <v>316609.94950000005</v>
      </c>
      <c r="V106" s="248">
        <f>V91+V92+V93+V99+V100+V101+V102+V103+V104</f>
        <v>4616831.461691999</v>
      </c>
    </row>
    <row r="107" spans="1:22" ht="9" customHeight="1">
      <c r="A107" s="204"/>
      <c r="B107" s="204"/>
      <c r="C107" s="217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197"/>
      <c r="T107" s="340"/>
      <c r="U107" s="340"/>
      <c r="V107" s="340"/>
    </row>
    <row r="108" spans="1:22" ht="13.5" customHeight="1">
      <c r="A108" s="204"/>
      <c r="B108" s="724"/>
      <c r="C108" s="348"/>
      <c r="D108" s="724"/>
      <c r="E108" s="1146"/>
      <c r="F108" s="1146"/>
      <c r="G108" s="1146"/>
      <c r="H108" s="1146"/>
      <c r="I108" s="1146"/>
      <c r="J108" s="1146"/>
      <c r="K108" s="1146"/>
      <c r="L108" s="399"/>
      <c r="M108" s="399"/>
      <c r="N108" s="399"/>
      <c r="O108" s="399"/>
      <c r="P108" s="399"/>
      <c r="Q108" s="399"/>
      <c r="R108" s="399"/>
      <c r="S108" s="399"/>
      <c r="T108" s="401"/>
      <c r="U108" s="401"/>
      <c r="V108" s="401"/>
    </row>
    <row r="109" spans="1:22" ht="12.75" customHeight="1" hidden="1">
      <c r="A109" s="204"/>
      <c r="B109" s="204"/>
      <c r="C109" s="217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</row>
    <row r="110" spans="1:28" ht="33.75" customHeight="1">
      <c r="A110" s="204"/>
      <c r="B110" s="343"/>
      <c r="C110" s="213"/>
      <c r="D110" s="343"/>
      <c r="E110" s="343"/>
      <c r="F110" s="214" t="s">
        <v>169</v>
      </c>
      <c r="G110" s="344"/>
      <c r="H110" s="344"/>
      <c r="I110" s="344"/>
      <c r="J110" s="344"/>
      <c r="K110" s="345"/>
      <c r="L110" s="346"/>
      <c r="M110" s="346"/>
      <c r="N110" s="346"/>
      <c r="O110" s="346"/>
      <c r="P110" s="346"/>
      <c r="Q110" s="346" t="s">
        <v>170</v>
      </c>
      <c r="R110" s="346" t="s">
        <v>426</v>
      </c>
      <c r="S110" s="346"/>
      <c r="T110" s="401"/>
      <c r="U110" s="340"/>
      <c r="V110" s="340"/>
      <c r="W110" s="340"/>
      <c r="X110" s="340"/>
      <c r="Y110" s="340"/>
      <c r="Z110" s="340"/>
      <c r="AA110" s="340"/>
      <c r="AB110" s="340"/>
    </row>
    <row r="111" spans="1:28" ht="33.75" customHeight="1">
      <c r="A111" s="204"/>
      <c r="B111" s="343"/>
      <c r="C111" s="213"/>
      <c r="D111" s="343"/>
      <c r="E111" s="214" t="s">
        <v>427</v>
      </c>
      <c r="G111" s="344"/>
      <c r="H111" s="344"/>
      <c r="I111" s="344"/>
      <c r="J111" s="344"/>
      <c r="K111" s="345"/>
      <c r="L111" s="346"/>
      <c r="M111" s="346"/>
      <c r="N111" s="346"/>
      <c r="O111" s="346"/>
      <c r="P111" s="346"/>
      <c r="Q111" s="346" t="s">
        <v>167</v>
      </c>
      <c r="R111" s="346" t="s">
        <v>167</v>
      </c>
      <c r="S111" s="346"/>
      <c r="T111" s="401"/>
      <c r="U111" s="340"/>
      <c r="V111" s="340"/>
      <c r="W111" s="340"/>
      <c r="X111" s="340"/>
      <c r="Y111" s="340"/>
      <c r="Z111" s="340"/>
      <c r="AA111" s="340"/>
      <c r="AB111" s="340"/>
    </row>
    <row r="112" spans="1:23" ht="15" hidden="1">
      <c r="A112" s="204"/>
      <c r="B112" s="343"/>
      <c r="C112" s="213"/>
      <c r="D112" s="343"/>
      <c r="E112" s="343"/>
      <c r="F112" s="214"/>
      <c r="G112" s="344"/>
      <c r="H112" s="344"/>
      <c r="I112" s="344"/>
      <c r="J112" s="345"/>
      <c r="K112" s="346"/>
      <c r="L112" s="346"/>
      <c r="M112" s="346"/>
      <c r="N112" s="346"/>
      <c r="O112" s="346"/>
      <c r="P112" s="346"/>
      <c r="Q112" s="346"/>
      <c r="R112" s="346"/>
      <c r="S112" s="346"/>
      <c r="T112" s="571"/>
      <c r="U112" s="571"/>
      <c r="V112" s="340"/>
      <c r="W112" s="340"/>
    </row>
    <row r="113" spans="1:22" ht="13.5" hidden="1">
      <c r="A113" s="204"/>
      <c r="B113" s="204"/>
      <c r="C113" s="217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</row>
    <row r="114" spans="1:22" ht="13.5" hidden="1">
      <c r="A114" s="204"/>
      <c r="B114" s="725"/>
      <c r="C114" s="726"/>
      <c r="D114" s="725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</row>
    <row r="115" spans="2:20" ht="13.5" hidden="1">
      <c r="B115" s="629"/>
      <c r="D115" s="629"/>
      <c r="Q115" s="204"/>
      <c r="R115" s="204"/>
      <c r="S115" s="204"/>
      <c r="T115" s="204"/>
    </row>
    <row r="116" spans="1:22" ht="13.5" hidden="1">
      <c r="A116" s="204"/>
      <c r="B116" s="419"/>
      <c r="C116" s="217"/>
      <c r="D116" s="419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</row>
    <row r="117" spans="7:10" ht="13.5">
      <c r="G117" s="456"/>
      <c r="H117" s="456"/>
      <c r="I117" s="456"/>
      <c r="J117" s="456"/>
    </row>
    <row r="118" spans="7:10" ht="13.5">
      <c r="G118" s="456"/>
      <c r="H118" s="456"/>
      <c r="I118" s="456"/>
      <c r="J118" s="456"/>
    </row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8" spans="1:22" ht="20.25">
      <c r="A128" s="204"/>
      <c r="B128" s="204"/>
      <c r="C128" s="217"/>
      <c r="D128" s="204"/>
      <c r="E128" s="204"/>
      <c r="F128" s="204"/>
      <c r="G128" s="204"/>
      <c r="H128" s="204"/>
      <c r="I128" s="204"/>
      <c r="J128" s="204"/>
      <c r="K128" s="204"/>
      <c r="L128" s="204"/>
      <c r="M128" s="201"/>
      <c r="N128" s="204"/>
      <c r="O128" s="204"/>
      <c r="P128" s="204"/>
      <c r="Q128" s="204"/>
      <c r="R128" s="204"/>
      <c r="S128" s="204"/>
      <c r="T128" s="204"/>
      <c r="U128" s="204"/>
      <c r="V128" s="204"/>
    </row>
    <row r="129" spans="1:22" ht="15">
      <c r="A129" s="198"/>
      <c r="B129" s="198"/>
      <c r="C129" s="199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</row>
    <row r="130" spans="1:22" ht="15">
      <c r="A130" s="211"/>
      <c r="B130" s="211"/>
      <c r="C130" s="727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</row>
    <row r="131" spans="1:22" ht="15">
      <c r="A131" s="211"/>
      <c r="B131" s="211"/>
      <c r="C131" s="727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</row>
    <row r="132" spans="1:22" ht="15">
      <c r="A132" s="211"/>
      <c r="B132" s="211"/>
      <c r="C132" s="727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</row>
    <row r="133" spans="1:22" ht="15">
      <c r="A133" s="211"/>
      <c r="B133" s="211"/>
      <c r="C133" s="727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</row>
    <row r="134" spans="1:22" ht="15">
      <c r="A134" s="211"/>
      <c r="B134" s="211"/>
      <c r="C134" s="727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</row>
    <row r="135" spans="1:22" ht="15">
      <c r="A135" s="211"/>
      <c r="B135" s="211"/>
      <c r="C135" s="727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</row>
    <row r="136" spans="1:22" ht="15">
      <c r="A136" s="211"/>
      <c r="B136" s="211"/>
      <c r="C136" s="727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</row>
    <row r="137" spans="1:22" ht="15">
      <c r="A137" s="211"/>
      <c r="B137" s="211"/>
      <c r="C137" s="727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</row>
  </sheetData>
  <sheetProtection/>
  <mergeCells count="76">
    <mergeCell ref="R81:R84"/>
    <mergeCell ref="S81:S84"/>
    <mergeCell ref="E108:K108"/>
    <mergeCell ref="J80:J84"/>
    <mergeCell ref="K80:L80"/>
    <mergeCell ref="M80:S80"/>
    <mergeCell ref="T80:T84"/>
    <mergeCell ref="U80:U84"/>
    <mergeCell ref="V80:V84"/>
    <mergeCell ref="K81:K84"/>
    <mergeCell ref="L81:L84"/>
    <mergeCell ref="M81:M84"/>
    <mergeCell ref="N81:N84"/>
    <mergeCell ref="O81:O84"/>
    <mergeCell ref="P81:P84"/>
    <mergeCell ref="Q81:Q84"/>
    <mergeCell ref="E76:I76"/>
    <mergeCell ref="A80:A82"/>
    <mergeCell ref="B80:B84"/>
    <mergeCell ref="C80:C84"/>
    <mergeCell ref="D80:D84"/>
    <mergeCell ref="F80:F84"/>
    <mergeCell ref="G80:G84"/>
    <mergeCell ref="H80:H84"/>
    <mergeCell ref="I80:I84"/>
    <mergeCell ref="R67:T67"/>
    <mergeCell ref="S68:V68"/>
    <mergeCell ref="O69:U69"/>
    <mergeCell ref="O70:U70"/>
    <mergeCell ref="B74:M74"/>
    <mergeCell ref="B75:M75"/>
    <mergeCell ref="O75:T75"/>
    <mergeCell ref="R26:R27"/>
    <mergeCell ref="S26:S27"/>
    <mergeCell ref="T26:T27"/>
    <mergeCell ref="A58:T58"/>
    <mergeCell ref="A61:T61"/>
    <mergeCell ref="S66:V66"/>
    <mergeCell ref="R18:R19"/>
    <mergeCell ref="S18:S19"/>
    <mergeCell ref="T18:T19"/>
    <mergeCell ref="A26:A27"/>
    <mergeCell ref="K26:K27"/>
    <mergeCell ref="M26:M27"/>
    <mergeCell ref="N26:N27"/>
    <mergeCell ref="O26:O27"/>
    <mergeCell ref="P26:P27"/>
    <mergeCell ref="Q26:Q27"/>
    <mergeCell ref="L18:L19"/>
    <mergeCell ref="M18:M19"/>
    <mergeCell ref="N18:N19"/>
    <mergeCell ref="O18:O19"/>
    <mergeCell ref="P18:P19"/>
    <mergeCell ref="Q18:Q19"/>
    <mergeCell ref="A18:A19"/>
    <mergeCell ref="B18:B19"/>
    <mergeCell ref="E18:E19"/>
    <mergeCell ref="F18:F19"/>
    <mergeCell ref="G18:G19"/>
    <mergeCell ref="K18:K19"/>
    <mergeCell ref="N13:N16"/>
    <mergeCell ref="O13:O16"/>
    <mergeCell ref="P13:P16"/>
    <mergeCell ref="Q13:Q16"/>
    <mergeCell ref="R13:R16"/>
    <mergeCell ref="S13:S16"/>
    <mergeCell ref="K1:Q1"/>
    <mergeCell ref="O3:T3"/>
    <mergeCell ref="O5:T5"/>
    <mergeCell ref="O6:T6"/>
    <mergeCell ref="A12:A14"/>
    <mergeCell ref="F12:G16"/>
    <mergeCell ref="K12:M12"/>
    <mergeCell ref="K13:K16"/>
    <mergeCell ref="L13:L16"/>
    <mergeCell ref="M13:M16"/>
  </mergeCells>
  <printOptions horizontalCentered="1"/>
  <pageMargins left="0.5118110236220472" right="0" top="0.35433070866141736" bottom="0.35433070866141736" header="0" footer="0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K73"/>
  <sheetViews>
    <sheetView view="pageBreakPreview" zoomScaleSheetLayoutView="100" zoomScalePageLayoutView="0" workbookViewId="0" topLeftCell="A1">
      <selection activeCell="I5" sqref="I5"/>
    </sheetView>
  </sheetViews>
  <sheetFormatPr defaultColWidth="9.125" defaultRowHeight="12.75"/>
  <cols>
    <col min="1" max="1" width="3.50390625" style="203" customWidth="1"/>
    <col min="2" max="2" width="29.50390625" style="203" customWidth="1"/>
    <col min="3" max="3" width="10.50390625" style="801" customWidth="1"/>
    <col min="4" max="4" width="10.50390625" style="203" hidden="1" customWidth="1"/>
    <col min="5" max="5" width="7.00390625" style="203" customWidth="1"/>
    <col min="6" max="6" width="10.00390625" style="203" customWidth="1"/>
    <col min="7" max="7" width="5.125" style="203" customWidth="1"/>
    <col min="8" max="8" width="11.875" style="203" customWidth="1"/>
    <col min="9" max="9" width="13.50390625" style="203" customWidth="1"/>
    <col min="10" max="10" width="11.50390625" style="203" customWidth="1"/>
    <col min="11" max="12" width="10.50390625" style="203" customWidth="1"/>
    <col min="13" max="13" width="6.50390625" style="203" customWidth="1"/>
    <col min="14" max="14" width="6.00390625" style="203" customWidth="1"/>
    <col min="15" max="15" width="10.125" style="203" customWidth="1"/>
    <col min="16" max="16" width="9.50390625" style="203" customWidth="1"/>
    <col min="17" max="17" width="5.50390625" style="203" customWidth="1"/>
    <col min="18" max="18" width="9.50390625" style="203" customWidth="1"/>
    <col min="19" max="19" width="11.625" style="203" customWidth="1"/>
    <col min="20" max="20" width="11.125" style="203" customWidth="1"/>
    <col min="21" max="21" width="12.125" style="203" customWidth="1"/>
    <col min="22" max="22" width="13.50390625" style="203" customWidth="1"/>
    <col min="23" max="23" width="10.00390625" style="203" hidden="1" customWidth="1"/>
    <col min="24" max="24" width="7.875" style="203" hidden="1" customWidth="1"/>
    <col min="25" max="25" width="0" style="203" hidden="1" customWidth="1"/>
    <col min="26" max="26" width="16.00390625" style="203" hidden="1" customWidth="1"/>
    <col min="27" max="27" width="7.875" style="203" hidden="1" customWidth="1"/>
    <col min="28" max="29" width="11.625" style="203" hidden="1" customWidth="1"/>
    <col min="30" max="30" width="8.50390625" style="203" hidden="1" customWidth="1"/>
    <col min="31" max="31" width="6.50390625" style="203" hidden="1" customWidth="1"/>
    <col min="32" max="32" width="7.125" style="203" hidden="1" customWidth="1"/>
    <col min="33" max="33" width="12.50390625" style="203" hidden="1" customWidth="1"/>
    <col min="34" max="34" width="7.50390625" style="203" hidden="1" customWidth="1"/>
    <col min="35" max="35" width="5.625" style="203" customWidth="1"/>
    <col min="36" max="36" width="10.625" style="203" customWidth="1"/>
    <col min="37" max="37" width="12.50390625" style="203" customWidth="1"/>
    <col min="38" max="38" width="12.625" style="203" customWidth="1"/>
    <col min="39" max="16384" width="9.125" style="203" customWidth="1"/>
  </cols>
  <sheetData>
    <row r="1" spans="1:24" ht="20.25" customHeight="1">
      <c r="A1" s="197"/>
      <c r="B1" s="204"/>
      <c r="C1" s="728"/>
      <c r="D1" s="204"/>
      <c r="E1" s="204"/>
      <c r="F1" s="204"/>
      <c r="G1" s="218"/>
      <c r="H1" s="218"/>
      <c r="I1" s="218"/>
      <c r="J1" s="204"/>
      <c r="K1" s="201"/>
      <c r="L1" s="204"/>
      <c r="M1" s="204"/>
      <c r="N1" s="204"/>
      <c r="O1" s="204"/>
      <c r="P1" s="204"/>
      <c r="Q1" s="204"/>
      <c r="R1" s="202" t="s">
        <v>102</v>
      </c>
      <c r="S1" s="457">
        <v>17</v>
      </c>
      <c r="T1" s="457"/>
      <c r="U1" s="352"/>
      <c r="V1" s="202"/>
      <c r="W1" s="202"/>
      <c r="X1" s="204"/>
    </row>
    <row r="2" spans="1:25" ht="35.25" customHeight="1">
      <c r="A2" s="197"/>
      <c r="B2" s="204"/>
      <c r="C2" s="728"/>
      <c r="D2" s="204"/>
      <c r="E2" s="204"/>
      <c r="F2" s="204"/>
      <c r="G2" s="218"/>
      <c r="H2" s="218"/>
      <c r="I2" s="218"/>
      <c r="J2" s="204"/>
      <c r="K2" s="201"/>
      <c r="L2" s="204"/>
      <c r="M2" s="204"/>
      <c r="N2" s="204"/>
      <c r="O2" s="204"/>
      <c r="P2" s="204"/>
      <c r="Q2" s="204"/>
      <c r="R2" s="1097" t="s">
        <v>103</v>
      </c>
      <c r="S2" s="1097"/>
      <c r="T2" s="1097"/>
      <c r="U2" s="1097"/>
      <c r="V2" s="1097"/>
      <c r="W2" s="1097"/>
      <c r="X2" s="205"/>
      <c r="Y2" s="205"/>
    </row>
    <row r="3" spans="1:24" ht="20.25" customHeight="1">
      <c r="A3" s="197"/>
      <c r="B3" s="204"/>
      <c r="C3" s="728"/>
      <c r="D3" s="204"/>
      <c r="E3" s="204"/>
      <c r="F3" s="204"/>
      <c r="G3" s="218"/>
      <c r="H3" s="218"/>
      <c r="I3" s="218"/>
      <c r="J3" s="204"/>
      <c r="K3" s="201"/>
      <c r="L3" s="204"/>
      <c r="M3" s="204"/>
      <c r="N3" s="204"/>
      <c r="O3" s="204"/>
      <c r="P3" s="204"/>
      <c r="Q3" s="204"/>
      <c r="R3" s="1098" t="s">
        <v>104</v>
      </c>
      <c r="S3" s="1098"/>
      <c r="T3" s="1098"/>
      <c r="U3" s="206" t="s">
        <v>0</v>
      </c>
      <c r="V3" s="616"/>
      <c r="W3" s="206"/>
      <c r="X3" s="676"/>
    </row>
    <row r="4" spans="1:25" ht="48" customHeight="1">
      <c r="A4" s="197"/>
      <c r="B4" s="204"/>
      <c r="C4" s="728"/>
      <c r="D4" s="204"/>
      <c r="E4" s="204"/>
      <c r="F4" s="204"/>
      <c r="G4" s="218"/>
      <c r="H4" s="218"/>
      <c r="I4" s="218"/>
      <c r="J4" s="204"/>
      <c r="K4" s="201"/>
      <c r="L4" s="204"/>
      <c r="M4" s="204"/>
      <c r="N4" s="204"/>
      <c r="O4" s="204"/>
      <c r="P4" s="204"/>
      <c r="Q4" s="204"/>
      <c r="R4" s="929" t="s">
        <v>428</v>
      </c>
      <c r="S4" s="929"/>
      <c r="T4" s="929"/>
      <c r="U4" s="929"/>
      <c r="V4" s="929"/>
      <c r="W4" s="929"/>
      <c r="X4" s="676"/>
      <c r="Y4" s="676"/>
    </row>
    <row r="5" spans="1:21" ht="18">
      <c r="A5" s="198"/>
      <c r="B5" s="198"/>
      <c r="C5" s="729"/>
      <c r="D5" s="198"/>
      <c r="E5" s="198"/>
      <c r="F5" s="215"/>
      <c r="G5" s="215"/>
      <c r="H5" s="198"/>
      <c r="I5" s="198"/>
      <c r="J5" s="198"/>
      <c r="K5" s="198"/>
      <c r="L5" s="198"/>
      <c r="M5" s="198"/>
      <c r="N5" s="730"/>
      <c r="O5" s="730"/>
      <c r="P5" s="681"/>
      <c r="Q5" s="209"/>
      <c r="R5" s="209"/>
      <c r="S5" s="209"/>
      <c r="T5" s="679"/>
      <c r="U5" s="681"/>
    </row>
    <row r="6" spans="1:21" ht="15">
      <c r="A6" s="198"/>
      <c r="B6" s="198"/>
      <c r="C6" s="729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405"/>
      <c r="O6" s="405"/>
      <c r="P6" s="731"/>
      <c r="Q6" s="732"/>
      <c r="R6" s="732"/>
      <c r="S6" s="732"/>
      <c r="T6" s="732"/>
      <c r="U6" s="732"/>
    </row>
    <row r="7" spans="1:21" ht="15">
      <c r="A7" s="198"/>
      <c r="B7" s="198"/>
      <c r="C7" s="729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732"/>
      <c r="O7" s="732"/>
      <c r="P7" s="211"/>
      <c r="Q7" s="198"/>
      <c r="R7" s="198"/>
      <c r="S7" s="198"/>
      <c r="T7" s="198"/>
      <c r="U7" s="733"/>
    </row>
    <row r="8" spans="1:22" ht="15">
      <c r="A8" s="198"/>
      <c r="B8" s="1148" t="s">
        <v>429</v>
      </c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211"/>
      <c r="N8" s="211"/>
      <c r="O8" s="211"/>
      <c r="P8" s="211"/>
      <c r="Q8" s="211"/>
      <c r="R8" s="211"/>
      <c r="S8" s="211"/>
      <c r="T8" s="211"/>
      <c r="U8" s="684"/>
      <c r="V8" s="211"/>
    </row>
    <row r="9" spans="1:22" ht="42" customHeight="1">
      <c r="A9" s="198"/>
      <c r="B9" s="1149" t="s">
        <v>430</v>
      </c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211"/>
      <c r="N9" s="1150"/>
      <c r="O9" s="1150"/>
      <c r="P9" s="1150"/>
      <c r="Q9" s="1150"/>
      <c r="R9" s="1150"/>
      <c r="S9" s="1150"/>
      <c r="T9" s="731"/>
      <c r="U9" s="731"/>
      <c r="V9" s="211"/>
    </row>
    <row r="10" spans="1:22" ht="15">
      <c r="A10" s="198"/>
      <c r="B10" s="1151" t="s">
        <v>7</v>
      </c>
      <c r="C10" s="1151"/>
      <c r="D10" s="1151"/>
      <c r="E10" s="1151"/>
      <c r="F10" s="1151"/>
      <c r="G10" s="1151"/>
      <c r="H10" s="1151"/>
      <c r="I10" s="1151"/>
      <c r="J10" s="1151"/>
      <c r="K10" s="1151"/>
      <c r="L10" s="1151"/>
      <c r="M10" s="211"/>
      <c r="N10" s="211"/>
      <c r="O10" s="211"/>
      <c r="P10" s="211"/>
      <c r="Q10" s="211"/>
      <c r="R10" s="211"/>
      <c r="S10" s="211"/>
      <c r="T10" s="211"/>
      <c r="U10" s="211"/>
      <c r="V10" s="211"/>
    </row>
    <row r="11" spans="1:26" ht="15">
      <c r="A11" s="198"/>
      <c r="B11" s="734" t="s">
        <v>431</v>
      </c>
      <c r="C11" s="735"/>
      <c r="D11" s="734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Z11" s="203" t="s">
        <v>432</v>
      </c>
    </row>
    <row r="12" spans="1:26" ht="15">
      <c r="A12" s="198"/>
      <c r="B12" s="211"/>
      <c r="C12" s="736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Z12" s="349">
        <f>J36+L36+M36+N36+O36+P36+Q36+R36</f>
        <v>55398.115</v>
      </c>
    </row>
    <row r="13" spans="1:22" s="202" customFormat="1" ht="12.75" customHeight="1">
      <c r="A13" s="1152" t="s">
        <v>0</v>
      </c>
      <c r="B13" s="737" t="s">
        <v>1</v>
      </c>
      <c r="C13" s="1155" t="s">
        <v>117</v>
      </c>
      <c r="D13" s="1155" t="s">
        <v>184</v>
      </c>
      <c r="E13" s="738" t="s">
        <v>2</v>
      </c>
      <c r="F13" s="1158" t="s">
        <v>34</v>
      </c>
      <c r="G13" s="1158" t="s">
        <v>35</v>
      </c>
      <c r="H13" s="1159" t="s">
        <v>433</v>
      </c>
      <c r="I13" s="1159" t="s">
        <v>434</v>
      </c>
      <c r="J13" s="739" t="s">
        <v>33</v>
      </c>
      <c r="K13" s="1162" t="s">
        <v>435</v>
      </c>
      <c r="L13" s="1165" t="s">
        <v>5</v>
      </c>
      <c r="M13" s="1165"/>
      <c r="N13" s="1165"/>
      <c r="O13" s="1165"/>
      <c r="P13" s="1166"/>
      <c r="Q13" s="1166"/>
      <c r="R13" s="1167"/>
      <c r="S13" s="737" t="s">
        <v>377</v>
      </c>
      <c r="T13" s="1168" t="s">
        <v>436</v>
      </c>
      <c r="U13" s="1171" t="s">
        <v>72</v>
      </c>
      <c r="V13" s="738" t="s">
        <v>437</v>
      </c>
    </row>
    <row r="14" spans="1:22" s="202" customFormat="1" ht="12.75" customHeight="1">
      <c r="A14" s="1153"/>
      <c r="B14" s="740" t="s">
        <v>186</v>
      </c>
      <c r="C14" s="1156"/>
      <c r="D14" s="1156"/>
      <c r="E14" s="740" t="s">
        <v>3</v>
      </c>
      <c r="F14" s="1158"/>
      <c r="G14" s="1158"/>
      <c r="H14" s="1160"/>
      <c r="I14" s="1160"/>
      <c r="J14" s="1174" t="s">
        <v>187</v>
      </c>
      <c r="K14" s="1163"/>
      <c r="L14" s="1174" t="s">
        <v>438</v>
      </c>
      <c r="M14" s="1174"/>
      <c r="N14" s="1174"/>
      <c r="O14" s="1174"/>
      <c r="P14" s="1177" t="s">
        <v>20</v>
      </c>
      <c r="Q14" s="1180"/>
      <c r="R14" s="1183" t="s">
        <v>21</v>
      </c>
      <c r="S14" s="740" t="s">
        <v>384</v>
      </c>
      <c r="T14" s="1169"/>
      <c r="U14" s="1172"/>
      <c r="V14" s="741" t="s">
        <v>439</v>
      </c>
    </row>
    <row r="15" spans="1:22" s="202" customFormat="1" ht="15">
      <c r="A15" s="1153"/>
      <c r="B15" s="740"/>
      <c r="C15" s="1156"/>
      <c r="D15" s="1156"/>
      <c r="E15" s="740" t="s">
        <v>4</v>
      </c>
      <c r="F15" s="1158"/>
      <c r="G15" s="1158"/>
      <c r="H15" s="1160"/>
      <c r="I15" s="1160"/>
      <c r="J15" s="1175"/>
      <c r="K15" s="1163"/>
      <c r="L15" s="1175"/>
      <c r="M15" s="1175"/>
      <c r="N15" s="1175"/>
      <c r="O15" s="1175"/>
      <c r="P15" s="1178"/>
      <c r="Q15" s="1181"/>
      <c r="R15" s="1181"/>
      <c r="S15" s="742" t="s">
        <v>385</v>
      </c>
      <c r="T15" s="1169"/>
      <c r="U15" s="1172"/>
      <c r="V15" s="741" t="s">
        <v>440</v>
      </c>
    </row>
    <row r="16" spans="1:22" s="202" customFormat="1" ht="15">
      <c r="A16" s="1153"/>
      <c r="B16" s="740"/>
      <c r="C16" s="1156"/>
      <c r="D16" s="1156"/>
      <c r="E16" s="740"/>
      <c r="F16" s="1158"/>
      <c r="G16" s="1158"/>
      <c r="H16" s="1160"/>
      <c r="I16" s="1160"/>
      <c r="J16" s="1175"/>
      <c r="K16" s="1163"/>
      <c r="L16" s="1175"/>
      <c r="M16" s="1175"/>
      <c r="N16" s="1175"/>
      <c r="O16" s="1175"/>
      <c r="P16" s="1178"/>
      <c r="Q16" s="1181"/>
      <c r="R16" s="1181"/>
      <c r="S16" s="742" t="s">
        <v>441</v>
      </c>
      <c r="T16" s="1169"/>
      <c r="U16" s="1172"/>
      <c r="V16" s="741" t="s">
        <v>441</v>
      </c>
    </row>
    <row r="17" spans="1:22" s="202" customFormat="1" ht="39" customHeight="1">
      <c r="A17" s="1154"/>
      <c r="B17" s="743"/>
      <c r="C17" s="1157"/>
      <c r="D17" s="1157"/>
      <c r="E17" s="743"/>
      <c r="F17" s="1158"/>
      <c r="G17" s="1158"/>
      <c r="H17" s="1161"/>
      <c r="I17" s="1161"/>
      <c r="J17" s="1176"/>
      <c r="K17" s="1164"/>
      <c r="L17" s="1176"/>
      <c r="M17" s="1176"/>
      <c r="N17" s="1176"/>
      <c r="O17" s="1176"/>
      <c r="P17" s="1179"/>
      <c r="Q17" s="1182"/>
      <c r="R17" s="1182"/>
      <c r="S17" s="745"/>
      <c r="T17" s="1170"/>
      <c r="U17" s="1173"/>
      <c r="V17" s="746"/>
    </row>
    <row r="18" spans="1:36" s="202" customFormat="1" ht="15">
      <c r="A18" s="240">
        <v>1</v>
      </c>
      <c r="B18" s="744" t="s">
        <v>442</v>
      </c>
      <c r="C18" s="747" t="s">
        <v>118</v>
      </c>
      <c r="D18" s="744"/>
      <c r="E18" s="307">
        <v>1</v>
      </c>
      <c r="F18" s="748">
        <v>8071</v>
      </c>
      <c r="G18" s="749">
        <v>16</v>
      </c>
      <c r="H18" s="750">
        <f>F18*E18</f>
        <v>8071</v>
      </c>
      <c r="I18" s="750">
        <f>H18*30%</f>
        <v>2421.2999999999997</v>
      </c>
      <c r="J18" s="307">
        <f>(I18+H18)*30%</f>
        <v>3147.6899999999996</v>
      </c>
      <c r="K18" s="307"/>
      <c r="L18" s="751"/>
      <c r="M18" s="751"/>
      <c r="N18" s="751"/>
      <c r="O18" s="751"/>
      <c r="P18" s="751"/>
      <c r="Q18" s="751"/>
      <c r="R18" s="751"/>
      <c r="S18" s="307">
        <f>I18+J18+K18+L18+M18+N18+O18+P18+Q18+R18+H18</f>
        <v>13639.99</v>
      </c>
      <c r="T18" s="307"/>
      <c r="U18" s="307">
        <f>S18+T18</f>
        <v>13639.99</v>
      </c>
      <c r="V18" s="307">
        <f>(U18*12)*1.168+H18</f>
        <v>199249.09983999998</v>
      </c>
      <c r="AJ18" s="526"/>
    </row>
    <row r="19" spans="1:37" s="202" customFormat="1" ht="70.5" customHeight="1">
      <c r="A19" s="240">
        <v>2</v>
      </c>
      <c r="B19" s="752" t="s">
        <v>443</v>
      </c>
      <c r="C19" s="753" t="s">
        <v>118</v>
      </c>
      <c r="D19" s="752"/>
      <c r="E19" s="754">
        <v>1</v>
      </c>
      <c r="F19" s="306">
        <f>F18*85%</f>
        <v>6860.349999999999</v>
      </c>
      <c r="G19" s="755" t="s">
        <v>444</v>
      </c>
      <c r="H19" s="750">
        <f>F19*E19</f>
        <v>6860.349999999999</v>
      </c>
      <c r="I19" s="750">
        <f>H19*30%</f>
        <v>2058.1049999999996</v>
      </c>
      <c r="J19" s="307">
        <v>891.85</v>
      </c>
      <c r="K19" s="307"/>
      <c r="L19" s="756"/>
      <c r="M19" s="756"/>
      <c r="N19" s="756"/>
      <c r="O19" s="756"/>
      <c r="P19" s="756"/>
      <c r="Q19" s="756"/>
      <c r="R19" s="756"/>
      <c r="S19" s="307">
        <f>I19+J19+K19+L19+M19+N19+O19+P19+Q19+R19+H19</f>
        <v>9810.304999999998</v>
      </c>
      <c r="T19" s="307"/>
      <c r="U19" s="307">
        <f>S19+T19</f>
        <v>9810.304999999998</v>
      </c>
      <c r="V19" s="307">
        <f>(U19*12)*1.168+H19</f>
        <v>144361.58487999998</v>
      </c>
      <c r="AC19" s="526">
        <f>F18+F19</f>
        <v>14931.349999999999</v>
      </c>
      <c r="AJ19" s="526"/>
      <c r="AK19" s="526"/>
    </row>
    <row r="20" spans="1:29" s="202" customFormat="1" ht="23.25" customHeight="1">
      <c r="A20" s="240">
        <v>3</v>
      </c>
      <c r="B20" s="757" t="s">
        <v>445</v>
      </c>
      <c r="C20" s="758" t="s">
        <v>446</v>
      </c>
      <c r="D20" s="757"/>
      <c r="E20" s="759">
        <v>1.25</v>
      </c>
      <c r="F20" s="305">
        <v>5265</v>
      </c>
      <c r="G20" s="760">
        <v>10</v>
      </c>
      <c r="H20" s="761">
        <f>E20*F20</f>
        <v>6581.25</v>
      </c>
      <c r="I20" s="761"/>
      <c r="J20" s="754">
        <f>H20*10%</f>
        <v>658.125</v>
      </c>
      <c r="K20" s="762"/>
      <c r="L20" s="738"/>
      <c r="M20" s="738"/>
      <c r="N20" s="738"/>
      <c r="O20" s="738"/>
      <c r="P20" s="738"/>
      <c r="Q20" s="738"/>
      <c r="R20" s="738"/>
      <c r="S20" s="307">
        <f>I20+J20+K20+L20+M20+N20+O20+P20+Q20+R20+H20</f>
        <v>7239.375</v>
      </c>
      <c r="T20" s="754"/>
      <c r="U20" s="307">
        <f>S20+T20</f>
        <v>7239.375</v>
      </c>
      <c r="V20" s="307">
        <f>(U20*12)*1.168+H20</f>
        <v>108048.32999999999</v>
      </c>
      <c r="AC20" s="526"/>
    </row>
    <row r="21" spans="1:29" ht="24.75" customHeight="1" thickBot="1">
      <c r="A21" s="240">
        <v>4</v>
      </c>
      <c r="B21" s="757" t="s">
        <v>447</v>
      </c>
      <c r="C21" s="758">
        <v>3475</v>
      </c>
      <c r="D21" s="757"/>
      <c r="E21" s="759">
        <v>24.75</v>
      </c>
      <c r="F21" s="763"/>
      <c r="G21" s="764"/>
      <c r="H21" s="765">
        <f>145118.8+403.55</f>
        <v>145522.34999999998</v>
      </c>
      <c r="I21" s="761">
        <f>59992.25+121.06-0.9</f>
        <v>60112.409999999996</v>
      </c>
      <c r="J21" s="765">
        <v>39352.35</v>
      </c>
      <c r="K21" s="766"/>
      <c r="L21" s="767"/>
      <c r="M21" s="767"/>
      <c r="N21" s="767"/>
      <c r="O21" s="767"/>
      <c r="P21" s="767"/>
      <c r="Q21" s="767"/>
      <c r="R21" s="767"/>
      <c r="S21" s="307">
        <f>I21+J21+K21+L21+M21+N21+O21+P21+Q21+R21+H21</f>
        <v>244987.11</v>
      </c>
      <c r="T21" s="762"/>
      <c r="U21" s="307">
        <f>S21+T21</f>
        <v>244987.11</v>
      </c>
      <c r="V21" s="307">
        <f>(U21*12)*1.168+H21</f>
        <v>3579261.6837599995</v>
      </c>
      <c r="AC21" s="349"/>
    </row>
    <row r="22" spans="1:37" ht="34.5" customHeight="1" thickBot="1">
      <c r="A22" s="240"/>
      <c r="B22" s="768" t="s">
        <v>418</v>
      </c>
      <c r="C22" s="769"/>
      <c r="D22" s="768"/>
      <c r="E22" s="770">
        <f>SUM(E18:E21)</f>
        <v>28</v>
      </c>
      <c r="F22" s="770"/>
      <c r="G22" s="770"/>
      <c r="H22" s="770">
        <f>H18+H19+H20+H21</f>
        <v>167034.94999999998</v>
      </c>
      <c r="I22" s="770">
        <f aca="true" t="shared" si="0" ref="I22:AH22">I18+I19+I20+I21</f>
        <v>64591.814999999995</v>
      </c>
      <c r="J22" s="770">
        <f>J18+J19+J20+J21</f>
        <v>44050.015</v>
      </c>
      <c r="K22" s="770">
        <f t="shared" si="0"/>
        <v>0</v>
      </c>
      <c r="L22" s="770">
        <f t="shared" si="0"/>
        <v>0</v>
      </c>
      <c r="M22" s="770">
        <f t="shared" si="0"/>
        <v>0</v>
      </c>
      <c r="N22" s="770">
        <f t="shared" si="0"/>
        <v>0</v>
      </c>
      <c r="O22" s="770">
        <f t="shared" si="0"/>
        <v>0</v>
      </c>
      <c r="P22" s="770">
        <f t="shared" si="0"/>
        <v>0</v>
      </c>
      <c r="Q22" s="770">
        <f t="shared" si="0"/>
        <v>0</v>
      </c>
      <c r="R22" s="770">
        <f t="shared" si="0"/>
        <v>0</v>
      </c>
      <c r="S22" s="770">
        <f>S18+S19+S20+S21</f>
        <v>275676.77999999997</v>
      </c>
      <c r="T22" s="770">
        <f t="shared" si="0"/>
        <v>0</v>
      </c>
      <c r="U22" s="770">
        <f>U18+U19+U20+U21</f>
        <v>275676.77999999997</v>
      </c>
      <c r="V22" s="770">
        <f>V18+V19+V20+V21</f>
        <v>4030920.6984799993</v>
      </c>
      <c r="W22" s="771">
        <f t="shared" si="0"/>
        <v>0</v>
      </c>
      <c r="X22" s="771">
        <f t="shared" si="0"/>
        <v>0</v>
      </c>
      <c r="Y22" s="771">
        <f t="shared" si="0"/>
        <v>0</v>
      </c>
      <c r="Z22" s="771">
        <f t="shared" si="0"/>
        <v>0</v>
      </c>
      <c r="AA22" s="771">
        <f t="shared" si="0"/>
        <v>0</v>
      </c>
      <c r="AB22" s="771">
        <f t="shared" si="0"/>
        <v>0</v>
      </c>
      <c r="AC22" s="771">
        <f t="shared" si="0"/>
        <v>14931.349999999999</v>
      </c>
      <c r="AD22" s="771">
        <f t="shared" si="0"/>
        <v>0</v>
      </c>
      <c r="AE22" s="771">
        <f t="shared" si="0"/>
        <v>0</v>
      </c>
      <c r="AF22" s="771">
        <f t="shared" si="0"/>
        <v>0</v>
      </c>
      <c r="AG22" s="771">
        <f t="shared" si="0"/>
        <v>0</v>
      </c>
      <c r="AH22" s="771">
        <f t="shared" si="0"/>
        <v>0</v>
      </c>
      <c r="AJ22" s="349"/>
      <c r="AK22" s="349"/>
    </row>
    <row r="23" spans="1:23" s="202" customFormat="1" ht="30.75">
      <c r="A23" s="240">
        <v>5</v>
      </c>
      <c r="B23" s="772" t="s">
        <v>212</v>
      </c>
      <c r="C23" s="773">
        <v>3231</v>
      </c>
      <c r="D23" s="751"/>
      <c r="E23" s="307">
        <v>1</v>
      </c>
      <c r="F23" s="748">
        <v>4195</v>
      </c>
      <c r="G23" s="749">
        <v>6</v>
      </c>
      <c r="H23" s="774">
        <f aca="true" t="shared" si="1" ref="H23:H28">F23*E23</f>
        <v>4195</v>
      </c>
      <c r="I23" s="774"/>
      <c r="J23" s="307">
        <v>1258.5</v>
      </c>
      <c r="K23" s="751"/>
      <c r="L23" s="751"/>
      <c r="M23" s="751"/>
      <c r="N23" s="751"/>
      <c r="O23" s="751"/>
      <c r="P23" s="751"/>
      <c r="Q23" s="751"/>
      <c r="R23" s="751"/>
      <c r="S23" s="307">
        <f aca="true" t="shared" si="2" ref="S23:S30">H23+J23+K23+L23+M23+N23+O23+P23+Q23+R23</f>
        <v>5453.5</v>
      </c>
      <c r="T23" s="775">
        <f>6700*E23-(S23-R23-P23)</f>
        <v>1246.5</v>
      </c>
      <c r="U23" s="307">
        <f>S23+T23</f>
        <v>6700</v>
      </c>
      <c r="V23" s="307">
        <f>(U23*12)*1.168+H23</f>
        <v>98102.2</v>
      </c>
      <c r="W23" s="526"/>
    </row>
    <row r="24" spans="1:23" ht="63.75" customHeight="1">
      <c r="A24" s="240">
        <v>6</v>
      </c>
      <c r="B24" s="776" t="s">
        <v>448</v>
      </c>
      <c r="C24" s="753" t="s">
        <v>118</v>
      </c>
      <c r="D24" s="752"/>
      <c r="E24" s="754">
        <v>1</v>
      </c>
      <c r="F24" s="307">
        <f>F18*85%</f>
        <v>6860.349999999999</v>
      </c>
      <c r="G24" s="777" t="s">
        <v>444</v>
      </c>
      <c r="H24" s="774">
        <f t="shared" si="1"/>
        <v>6860.349999999999</v>
      </c>
      <c r="I24" s="774"/>
      <c r="J24" s="756"/>
      <c r="K24" s="754"/>
      <c r="L24" s="756"/>
      <c r="M24" s="756"/>
      <c r="N24" s="756"/>
      <c r="O24" s="756"/>
      <c r="P24" s="756"/>
      <c r="Q24" s="756"/>
      <c r="R24" s="756"/>
      <c r="S24" s="778">
        <f t="shared" si="2"/>
        <v>6860.349999999999</v>
      </c>
      <c r="T24" s="779"/>
      <c r="U24" s="307">
        <f>S24+T24</f>
        <v>6860.349999999999</v>
      </c>
      <c r="V24" s="307">
        <f aca="true" t="shared" si="3" ref="V24:V30">(U24*12)*1.168+H24</f>
        <v>103015.0156</v>
      </c>
      <c r="W24" s="203" t="s">
        <v>449</v>
      </c>
    </row>
    <row r="25" spans="1:29" ht="49.5" customHeight="1">
      <c r="A25" s="240">
        <v>7</v>
      </c>
      <c r="B25" s="776" t="s">
        <v>218</v>
      </c>
      <c r="C25" s="753">
        <v>7129</v>
      </c>
      <c r="D25" s="752"/>
      <c r="E25" s="780">
        <v>1</v>
      </c>
      <c r="F25" s="781">
        <v>3674</v>
      </c>
      <c r="G25" s="749">
        <v>4</v>
      </c>
      <c r="H25" s="774">
        <f t="shared" si="1"/>
        <v>3674</v>
      </c>
      <c r="I25" s="774"/>
      <c r="J25" s="756"/>
      <c r="K25" s="756"/>
      <c r="L25" s="756"/>
      <c r="M25" s="756"/>
      <c r="N25" s="756"/>
      <c r="O25" s="756"/>
      <c r="P25" s="756"/>
      <c r="Q25" s="756"/>
      <c r="R25" s="756"/>
      <c r="S25" s="778">
        <f t="shared" si="2"/>
        <v>3674</v>
      </c>
      <c r="T25" s="779">
        <f aca="true" t="shared" si="4" ref="T25:T30">6700*E25-(S25-R25-P25)</f>
        <v>3026</v>
      </c>
      <c r="U25" s="307">
        <f>S25+T25</f>
        <v>6700</v>
      </c>
      <c r="V25" s="307">
        <f t="shared" si="3"/>
        <v>97581.2</v>
      </c>
      <c r="W25" s="349">
        <f>S24+S25+S26+S28+S29</f>
        <v>55306.95</v>
      </c>
      <c r="AC25" s="349"/>
    </row>
    <row r="26" spans="1:22" ht="21.75" customHeight="1">
      <c r="A26" s="240">
        <v>8</v>
      </c>
      <c r="B26" s="756" t="s">
        <v>10</v>
      </c>
      <c r="C26" s="753">
        <v>9152</v>
      </c>
      <c r="D26" s="756"/>
      <c r="E26" s="754">
        <f>4+3</f>
        <v>7</v>
      </c>
      <c r="F26" s="748">
        <v>3153</v>
      </c>
      <c r="G26" s="749">
        <v>2</v>
      </c>
      <c r="H26" s="774">
        <f t="shared" si="1"/>
        <v>22071</v>
      </c>
      <c r="I26" s="774"/>
      <c r="J26" s="756"/>
      <c r="K26" s="756"/>
      <c r="L26" s="756"/>
      <c r="M26" s="756"/>
      <c r="N26" s="756"/>
      <c r="O26" s="756"/>
      <c r="P26" s="756"/>
      <c r="Q26" s="756"/>
      <c r="R26" s="754">
        <f>F26*40%*E26</f>
        <v>8828.4</v>
      </c>
      <c r="S26" s="307">
        <f t="shared" si="2"/>
        <v>30899.4</v>
      </c>
      <c r="T26" s="775">
        <f t="shared" si="4"/>
        <v>24829</v>
      </c>
      <c r="U26" s="307">
        <f>E26*F26+I26+J26+K26+L26+M26+N26+O26+P26+Q26+R26+T26</f>
        <v>55728.4</v>
      </c>
      <c r="V26" s="307">
        <f t="shared" si="3"/>
        <v>803160.2544</v>
      </c>
    </row>
    <row r="27" spans="1:23" ht="15">
      <c r="A27" s="240">
        <v>9</v>
      </c>
      <c r="B27" s="782" t="s">
        <v>450</v>
      </c>
      <c r="C27" s="753">
        <v>4115</v>
      </c>
      <c r="D27" s="756"/>
      <c r="E27" s="754">
        <v>0.5</v>
      </c>
      <c r="F27" s="748">
        <v>3934</v>
      </c>
      <c r="G27" s="783">
        <v>5</v>
      </c>
      <c r="H27" s="774">
        <f t="shared" si="1"/>
        <v>1967</v>
      </c>
      <c r="I27" s="774"/>
      <c r="J27" s="756"/>
      <c r="K27" s="756"/>
      <c r="L27" s="756"/>
      <c r="M27" s="756"/>
      <c r="N27" s="756"/>
      <c r="O27" s="756"/>
      <c r="P27" s="756"/>
      <c r="Q27" s="756"/>
      <c r="R27" s="756"/>
      <c r="S27" s="307">
        <f t="shared" si="2"/>
        <v>1967</v>
      </c>
      <c r="T27" s="775">
        <f t="shared" si="4"/>
        <v>1383</v>
      </c>
      <c r="U27" s="307">
        <f>E27*F27+I27+J27+K27+L27+M27+N27+O27+P27+Q27+R27+T27</f>
        <v>3350</v>
      </c>
      <c r="V27" s="307">
        <f t="shared" si="3"/>
        <v>48920.6</v>
      </c>
      <c r="W27" s="203">
        <f>SUM(W24:W26)</f>
        <v>55306.95</v>
      </c>
    </row>
    <row r="28" spans="1:22" ht="38.25" customHeight="1">
      <c r="A28" s="240">
        <v>10</v>
      </c>
      <c r="B28" s="752" t="s">
        <v>87</v>
      </c>
      <c r="C28" s="753">
        <v>9132</v>
      </c>
      <c r="D28" s="752"/>
      <c r="E28" s="754">
        <v>4</v>
      </c>
      <c r="F28" s="748">
        <v>3153</v>
      </c>
      <c r="G28" s="749">
        <v>2</v>
      </c>
      <c r="H28" s="774">
        <f t="shared" si="1"/>
        <v>12612</v>
      </c>
      <c r="I28" s="774"/>
      <c r="J28" s="756"/>
      <c r="K28" s="756"/>
      <c r="L28" s="756"/>
      <c r="M28" s="756"/>
      <c r="N28" s="756"/>
      <c r="O28" s="756"/>
      <c r="P28" s="754">
        <f>F28*10%*E28</f>
        <v>1261.2</v>
      </c>
      <c r="Q28" s="756"/>
      <c r="R28" s="756"/>
      <c r="S28" s="307">
        <f t="shared" si="2"/>
        <v>13873.2</v>
      </c>
      <c r="T28" s="775">
        <f t="shared" si="4"/>
        <v>14188</v>
      </c>
      <c r="U28" s="307">
        <f>E28*F28+I28+J28+K28+L28+M28+N28+O28+P28+Q28+R28+T28</f>
        <v>28061.2</v>
      </c>
      <c r="V28" s="307">
        <f t="shared" si="3"/>
        <v>405917.7792</v>
      </c>
    </row>
    <row r="29" spans="1:28" ht="15" hidden="1">
      <c r="A29" s="222"/>
      <c r="B29" s="756"/>
      <c r="C29" s="753"/>
      <c r="D29" s="756"/>
      <c r="E29" s="756"/>
      <c r="F29" s="748"/>
      <c r="G29" s="749"/>
      <c r="H29" s="749"/>
      <c r="I29" s="749"/>
      <c r="J29" s="756"/>
      <c r="K29" s="756"/>
      <c r="L29" s="756"/>
      <c r="M29" s="756"/>
      <c r="N29" s="756"/>
      <c r="O29" s="756"/>
      <c r="P29" s="756"/>
      <c r="Q29" s="756"/>
      <c r="R29" s="756"/>
      <c r="S29" s="307">
        <f t="shared" si="2"/>
        <v>0</v>
      </c>
      <c r="T29" s="775">
        <f t="shared" si="4"/>
        <v>0</v>
      </c>
      <c r="U29" s="307">
        <f>S29+T29</f>
        <v>0</v>
      </c>
      <c r="V29" s="307">
        <f t="shared" si="3"/>
        <v>0</v>
      </c>
      <c r="AB29" s="204"/>
    </row>
    <row r="30" spans="1:28" ht="15">
      <c r="A30" s="317">
        <v>11</v>
      </c>
      <c r="B30" s="784" t="s">
        <v>56</v>
      </c>
      <c r="C30" s="785">
        <v>9162</v>
      </c>
      <c r="D30" s="784"/>
      <c r="E30" s="754">
        <v>1</v>
      </c>
      <c r="F30" s="786">
        <v>2893</v>
      </c>
      <c r="G30" s="787">
        <v>1</v>
      </c>
      <c r="H30" s="788">
        <f>F30*E30</f>
        <v>2893</v>
      </c>
      <c r="I30" s="788"/>
      <c r="J30" s="788"/>
      <c r="K30" s="754"/>
      <c r="L30" s="754"/>
      <c r="M30" s="754"/>
      <c r="N30" s="789"/>
      <c r="O30" s="754"/>
      <c r="P30" s="754"/>
      <c r="Q30" s="789"/>
      <c r="R30" s="754"/>
      <c r="S30" s="307">
        <f t="shared" si="2"/>
        <v>2893</v>
      </c>
      <c r="T30" s="775">
        <f t="shared" si="4"/>
        <v>3807</v>
      </c>
      <c r="U30" s="754">
        <f>I30+K30+M30+N30+O30+Q30+S30+T30</f>
        <v>6700</v>
      </c>
      <c r="V30" s="307">
        <f t="shared" si="3"/>
        <v>96800.2</v>
      </c>
      <c r="AB30" s="204"/>
    </row>
    <row r="31" spans="1:22" ht="15" hidden="1">
      <c r="A31" s="454"/>
      <c r="B31" s="756"/>
      <c r="C31" s="753"/>
      <c r="D31" s="756"/>
      <c r="E31" s="754"/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1"/>
      <c r="T31" s="775"/>
      <c r="U31" s="751"/>
      <c r="V31" s="751"/>
    </row>
    <row r="32" spans="1:22" ht="15" hidden="1">
      <c r="A32" s="454"/>
      <c r="B32" s="756"/>
      <c r="C32" s="753"/>
      <c r="D32" s="756"/>
      <c r="E32" s="754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1"/>
      <c r="T32" s="775"/>
      <c r="U32" s="751"/>
      <c r="V32" s="751"/>
    </row>
    <row r="33" spans="1:22" ht="15" hidden="1">
      <c r="A33" s="454"/>
      <c r="B33" s="756"/>
      <c r="C33" s="753"/>
      <c r="D33" s="756"/>
      <c r="E33" s="754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1"/>
      <c r="T33" s="775"/>
      <c r="U33" s="751"/>
      <c r="V33" s="751"/>
    </row>
    <row r="34" spans="1:22" ht="15" hidden="1">
      <c r="A34" s="454"/>
      <c r="B34" s="756"/>
      <c r="C34" s="753"/>
      <c r="D34" s="756"/>
      <c r="E34" s="754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1"/>
      <c r="T34" s="775"/>
      <c r="U34" s="751"/>
      <c r="V34" s="751"/>
    </row>
    <row r="35" spans="1:25" ht="15" hidden="1">
      <c r="A35" s="454"/>
      <c r="B35" s="756"/>
      <c r="C35" s="753"/>
      <c r="D35" s="756"/>
      <c r="E35" s="754"/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90"/>
      <c r="U35" s="756"/>
      <c r="V35" s="756"/>
      <c r="Y35" s="349"/>
    </row>
    <row r="36" spans="1:28" ht="21.75" customHeight="1">
      <c r="A36" s="454"/>
      <c r="B36" s="756" t="s">
        <v>6</v>
      </c>
      <c r="C36" s="753"/>
      <c r="D36" s="756"/>
      <c r="E36" s="754">
        <f>E22+E23+E24+E25+E26+E28+E27+E30</f>
        <v>43.5</v>
      </c>
      <c r="F36" s="754"/>
      <c r="G36" s="754"/>
      <c r="H36" s="754">
        <f>H22+H23+H24+H25+H26+H27+H28+H30</f>
        <v>221307.3</v>
      </c>
      <c r="I36" s="754">
        <f aca="true" t="shared" si="5" ref="I36:R36">I22+I23+I24+I25+I26+I27+I28+I30</f>
        <v>64591.814999999995</v>
      </c>
      <c r="J36" s="754">
        <f t="shared" si="5"/>
        <v>45308.515</v>
      </c>
      <c r="K36" s="754">
        <f t="shared" si="5"/>
        <v>0</v>
      </c>
      <c r="L36" s="754">
        <f t="shared" si="5"/>
        <v>0</v>
      </c>
      <c r="M36" s="754">
        <f t="shared" si="5"/>
        <v>0</v>
      </c>
      <c r="N36" s="754">
        <f t="shared" si="5"/>
        <v>0</v>
      </c>
      <c r="O36" s="754">
        <f t="shared" si="5"/>
        <v>0</v>
      </c>
      <c r="P36" s="754">
        <f>P22+P23+P24+P25+P26+P27+P28+P30</f>
        <v>1261.2</v>
      </c>
      <c r="Q36" s="754">
        <f t="shared" si="5"/>
        <v>0</v>
      </c>
      <c r="R36" s="754">
        <f t="shared" si="5"/>
        <v>8828.4</v>
      </c>
      <c r="S36" s="754">
        <f>S22+S23+S24+S25+S26+S27+S28+S30</f>
        <v>341297.23</v>
      </c>
      <c r="T36" s="754">
        <f>T22+T23+T24+T25+T26+T27+T28+T30</f>
        <v>48479.5</v>
      </c>
      <c r="U36" s="754">
        <f>U22+U23+U24+U25+U26+U27+U28+U30</f>
        <v>389776.73</v>
      </c>
      <c r="V36" s="754">
        <f>V22+V23+V24+V25+V26+V27+V28+V30</f>
        <v>5684417.947679999</v>
      </c>
      <c r="AB36" s="349">
        <f>F23+F24+F25+F26*E26+F28*E28+F29</f>
        <v>49412.35</v>
      </c>
    </row>
    <row r="37" spans="1:22" ht="9.75" customHeight="1">
      <c r="A37" s="198"/>
      <c r="B37" s="211"/>
      <c r="C37" s="736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2"/>
      <c r="T37" s="212"/>
      <c r="U37" s="212"/>
      <c r="V37" s="212"/>
    </row>
    <row r="38" spans="1:29" ht="21.75" customHeight="1">
      <c r="A38" s="198"/>
      <c r="B38" s="791"/>
      <c r="C38" s="792"/>
      <c r="D38" s="791"/>
      <c r="E38" s="793"/>
      <c r="F38" s="211"/>
      <c r="G38" s="794"/>
      <c r="H38" s="794"/>
      <c r="I38" s="794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  <c r="V38" s="211"/>
      <c r="AC38" s="349">
        <f>F25+F26*E26+F28*E28</f>
        <v>38357</v>
      </c>
    </row>
    <row r="39" spans="1:28" ht="27" customHeight="1">
      <c r="A39" s="204"/>
      <c r="B39" s="343"/>
      <c r="C39" s="213"/>
      <c r="D39" s="343"/>
      <c r="E39" s="343"/>
      <c r="F39" s="214" t="s">
        <v>169</v>
      </c>
      <c r="G39" s="344"/>
      <c r="H39" s="344"/>
      <c r="I39" s="344"/>
      <c r="J39" s="344"/>
      <c r="K39" s="345"/>
      <c r="L39" s="346"/>
      <c r="M39" s="346"/>
      <c r="N39" s="346"/>
      <c r="O39" s="346"/>
      <c r="P39" s="346"/>
      <c r="Q39" s="346"/>
      <c r="R39" s="346" t="s">
        <v>426</v>
      </c>
      <c r="S39" s="346"/>
      <c r="T39" s="401"/>
      <c r="U39" s="340"/>
      <c r="V39" s="340"/>
      <c r="W39" s="340"/>
      <c r="X39" s="340"/>
      <c r="Y39" s="340"/>
      <c r="Z39" s="340"/>
      <c r="AA39" s="340"/>
      <c r="AB39" s="340"/>
    </row>
    <row r="40" spans="1:28" ht="27" customHeight="1">
      <c r="A40" s="204"/>
      <c r="B40" s="343"/>
      <c r="C40" s="213"/>
      <c r="D40" s="343"/>
      <c r="E40" s="214" t="s">
        <v>427</v>
      </c>
      <c r="G40" s="344"/>
      <c r="H40" s="344"/>
      <c r="I40" s="344"/>
      <c r="J40" s="344"/>
      <c r="K40" s="345"/>
      <c r="L40" s="346"/>
      <c r="M40" s="346"/>
      <c r="N40" s="346"/>
      <c r="O40" s="346"/>
      <c r="P40" s="346"/>
      <c r="Q40" s="346"/>
      <c r="R40" s="346" t="s">
        <v>167</v>
      </c>
      <c r="S40" s="346"/>
      <c r="T40" s="401"/>
      <c r="U40" s="340"/>
      <c r="V40" s="340"/>
      <c r="W40" s="340"/>
      <c r="X40" s="340"/>
      <c r="Y40" s="340"/>
      <c r="Z40" s="340"/>
      <c r="AA40" s="340"/>
      <c r="AB40" s="340"/>
    </row>
    <row r="41" spans="1:28" ht="15">
      <c r="A41" s="204"/>
      <c r="B41" s="341"/>
      <c r="C41" s="342"/>
      <c r="D41" s="341"/>
      <c r="E41" s="341"/>
      <c r="F41" s="199"/>
      <c r="G41" s="795"/>
      <c r="H41" s="795"/>
      <c r="I41" s="795"/>
      <c r="J41" s="796"/>
      <c r="K41" s="401"/>
      <c r="L41" s="401"/>
      <c r="M41" s="401"/>
      <c r="N41" s="401"/>
      <c r="O41" s="401"/>
      <c r="P41" s="401"/>
      <c r="Q41" s="401"/>
      <c r="R41" s="401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</row>
    <row r="42" spans="1:22" ht="15">
      <c r="A42" s="204"/>
      <c r="B42" s="204"/>
      <c r="C42" s="728"/>
      <c r="D42" s="204"/>
      <c r="E42" s="198"/>
      <c r="F42" s="204"/>
      <c r="G42" s="204"/>
      <c r="H42" s="204"/>
      <c r="I42" s="204"/>
      <c r="J42" s="204"/>
      <c r="K42" s="204"/>
      <c r="L42" s="204"/>
      <c r="M42" s="204"/>
      <c r="N42" s="198"/>
      <c r="O42" s="204"/>
      <c r="P42" s="204"/>
      <c r="Q42" s="204"/>
      <c r="R42" s="204"/>
      <c r="S42" s="204"/>
      <c r="T42" s="204"/>
      <c r="U42" s="204"/>
      <c r="V42" s="204"/>
    </row>
    <row r="43" spans="1:22" ht="15">
      <c r="A43" s="211"/>
      <c r="B43" s="211"/>
      <c r="C43" s="736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04"/>
      <c r="Q43" s="204"/>
      <c r="R43" s="204"/>
      <c r="S43" s="204"/>
      <c r="T43" s="211"/>
      <c r="U43" s="211"/>
      <c r="V43" s="211"/>
    </row>
    <row r="44" spans="1:22" ht="15">
      <c r="A44" s="211"/>
      <c r="B44" s="211"/>
      <c r="C44" s="736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04"/>
      <c r="Q44" s="204"/>
      <c r="R44" s="204"/>
      <c r="S44" s="204"/>
      <c r="T44" s="211"/>
      <c r="U44" s="211"/>
      <c r="V44" s="211"/>
    </row>
    <row r="45" spans="1:22" ht="15">
      <c r="A45" s="211"/>
      <c r="B45" s="211"/>
      <c r="C45" s="736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</row>
    <row r="46" spans="1:22" ht="15" hidden="1">
      <c r="A46" s="211"/>
      <c r="B46" s="211"/>
      <c r="C46" s="736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</row>
    <row r="47" spans="1:22" ht="15" hidden="1">
      <c r="A47" s="211"/>
      <c r="B47" s="211"/>
      <c r="C47" s="736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</row>
    <row r="48" spans="1:22" ht="15" hidden="1">
      <c r="A48" s="211"/>
      <c r="B48" s="212" t="e">
        <f>#REF!+#REF!+#REF!+S36+#REF!+#REF!+#REF!</f>
        <v>#REF!</v>
      </c>
      <c r="C48" s="797"/>
      <c r="D48" s="212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  <row r="49" spans="1:22" ht="15" hidden="1">
      <c r="A49" s="211"/>
      <c r="B49" s="798" t="s">
        <v>451</v>
      </c>
      <c r="C49" s="799"/>
      <c r="D49" s="798"/>
      <c r="E49" s="798"/>
      <c r="F49" s="798" t="s">
        <v>452</v>
      </c>
      <c r="G49" s="798" t="s">
        <v>453</v>
      </c>
      <c r="H49" s="798"/>
      <c r="I49" s="798"/>
      <c r="J49" s="798" t="s">
        <v>454</v>
      </c>
      <c r="K49" s="798" t="s">
        <v>455</v>
      </c>
      <c r="L49" s="798" t="s">
        <v>456</v>
      </c>
      <c r="M49" s="211"/>
      <c r="N49" s="211"/>
      <c r="O49" s="211" t="s">
        <v>457</v>
      </c>
      <c r="P49" s="211"/>
      <c r="Q49" s="211"/>
      <c r="R49" s="211"/>
      <c r="S49" s="211"/>
      <c r="T49" s="211"/>
      <c r="U49" s="211"/>
      <c r="V49" s="211"/>
    </row>
    <row r="50" spans="1:22" ht="15" hidden="1">
      <c r="A50" s="211"/>
      <c r="B50" s="798"/>
      <c r="C50" s="799"/>
      <c r="D50" s="798"/>
      <c r="E50" s="798"/>
      <c r="F50" s="798"/>
      <c r="G50" s="798"/>
      <c r="H50" s="798"/>
      <c r="I50" s="798"/>
      <c r="J50" s="798"/>
      <c r="K50" s="798"/>
      <c r="L50" s="798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1:22" ht="15" hidden="1">
      <c r="A51" s="211"/>
      <c r="B51" s="798" t="s">
        <v>458</v>
      </c>
      <c r="C51" s="799"/>
      <c r="D51" s="798"/>
      <c r="E51" s="798"/>
      <c r="F51" s="798">
        <v>34508.22</v>
      </c>
      <c r="G51" s="800" t="e">
        <f>#REF!+#REF!+#REF!+#REF!+#REF!</f>
        <v>#REF!</v>
      </c>
      <c r="H51" s="800"/>
      <c r="I51" s="800"/>
      <c r="J51" s="800" t="e">
        <f>#REF!+#REF!+#REF!</f>
        <v>#REF!</v>
      </c>
      <c r="K51" s="800" t="e">
        <f>#REF!+#REF!+#REF!+#REF!+#REF!+#REF!+#REF!+#REF!+#REF!</f>
        <v>#REF!</v>
      </c>
      <c r="L51" s="800" t="e">
        <f aca="true" t="shared" si="6" ref="L51:L56">G51+J51+K51</f>
        <v>#REF!</v>
      </c>
      <c r="M51" s="211"/>
      <c r="N51" s="211"/>
      <c r="O51" s="349" t="e">
        <f>L51+F51</f>
        <v>#REF!</v>
      </c>
      <c r="P51" s="211"/>
      <c r="Q51" s="211"/>
      <c r="R51" s="211"/>
      <c r="S51" s="211"/>
      <c r="T51" s="211"/>
      <c r="U51" s="211"/>
      <c r="V51" s="211"/>
    </row>
    <row r="52" spans="1:22" ht="15" hidden="1">
      <c r="A52" s="211"/>
      <c r="B52" s="798" t="s">
        <v>459</v>
      </c>
      <c r="C52" s="799"/>
      <c r="D52" s="798"/>
      <c r="E52" s="798"/>
      <c r="F52" s="798"/>
      <c r="G52" s="800" t="e">
        <f>#REF!+#REF!+#REF!+#REF!+#REF!+#REF!+#REF!</f>
        <v>#REF!</v>
      </c>
      <c r="H52" s="800"/>
      <c r="I52" s="800"/>
      <c r="J52" s="800" t="e">
        <f>#REF!+#REF!</f>
        <v>#REF!</v>
      </c>
      <c r="K52" s="800" t="e">
        <f>#REF!</f>
        <v>#REF!</v>
      </c>
      <c r="L52" s="800" t="e">
        <f t="shared" si="6"/>
        <v>#REF!</v>
      </c>
      <c r="M52" s="211"/>
      <c r="N52" s="211"/>
      <c r="O52" s="211"/>
      <c r="P52" s="211"/>
      <c r="Q52" s="211"/>
      <c r="R52" s="211"/>
      <c r="S52" s="211"/>
      <c r="T52" s="211"/>
      <c r="U52" s="211"/>
      <c r="V52" s="211"/>
    </row>
    <row r="53" spans="1:22" ht="15" hidden="1">
      <c r="A53" s="211"/>
      <c r="B53" s="798" t="s">
        <v>460</v>
      </c>
      <c r="C53" s="799"/>
      <c r="D53" s="798"/>
      <c r="E53" s="798"/>
      <c r="F53" s="798"/>
      <c r="G53" s="800"/>
      <c r="H53" s="800"/>
      <c r="I53" s="800"/>
      <c r="J53" s="800" t="e">
        <f>#REF!+#REF!+#REF!+#REF!+#REF!+#REF!+#REF!+#REF!</f>
        <v>#REF!</v>
      </c>
      <c r="K53" s="800" t="e">
        <f>#REF!+#REF!+#REF!</f>
        <v>#REF!</v>
      </c>
      <c r="L53" s="800" t="e">
        <f t="shared" si="6"/>
        <v>#REF!</v>
      </c>
      <c r="M53" s="211"/>
      <c r="N53" s="211"/>
      <c r="O53" s="211"/>
      <c r="P53" s="211"/>
      <c r="Q53" s="211"/>
      <c r="R53" s="211"/>
      <c r="S53" s="211"/>
      <c r="T53" s="211"/>
      <c r="U53" s="211"/>
      <c r="V53" s="211"/>
    </row>
    <row r="54" spans="1:22" ht="15" hidden="1">
      <c r="A54" s="211"/>
      <c r="B54" s="798" t="s">
        <v>461</v>
      </c>
      <c r="C54" s="799"/>
      <c r="D54" s="798"/>
      <c r="E54" s="798"/>
      <c r="F54" s="798"/>
      <c r="G54" s="798"/>
      <c r="H54" s="798"/>
      <c r="I54" s="798"/>
      <c r="J54" s="800" t="e">
        <f>#REF!+#REF!+#REF!+#REF!+#REF!+#REF!+#REF!+#REF!+#REF!+#REF!+#REF!+#REF!</f>
        <v>#REF!</v>
      </c>
      <c r="K54" s="800" t="e">
        <f>#REF!+#REF!+#REF!+#REF!+#REF!+#REF!+#REF!+#REF!</f>
        <v>#REF!</v>
      </c>
      <c r="L54" s="800" t="e">
        <f t="shared" si="6"/>
        <v>#REF!</v>
      </c>
      <c r="M54" s="211"/>
      <c r="N54" s="211"/>
      <c r="O54" s="211"/>
      <c r="P54" s="211"/>
      <c r="Q54" s="211"/>
      <c r="R54" s="211"/>
      <c r="S54" s="211"/>
      <c r="T54" s="211"/>
      <c r="U54" s="211"/>
      <c r="V54" s="211"/>
    </row>
    <row r="55" spans="1:22" ht="15" hidden="1">
      <c r="A55" s="211"/>
      <c r="B55" s="798" t="s">
        <v>462</v>
      </c>
      <c r="C55" s="799"/>
      <c r="D55" s="798"/>
      <c r="E55" s="798"/>
      <c r="F55" s="798"/>
      <c r="G55" s="798"/>
      <c r="H55" s="798"/>
      <c r="I55" s="798"/>
      <c r="J55" s="800" t="e">
        <f>#REF!+#REF!+#REF!+#REF!+#REF!+#REF!</f>
        <v>#REF!</v>
      </c>
      <c r="K55" s="800" t="e">
        <f>#REF!+#REF!+#REF!+#REF!</f>
        <v>#REF!</v>
      </c>
      <c r="L55" s="800" t="e">
        <f t="shared" si="6"/>
        <v>#REF!</v>
      </c>
      <c r="M55" s="211"/>
      <c r="N55" s="211"/>
      <c r="O55" s="211"/>
      <c r="P55" s="211"/>
      <c r="Q55" s="211"/>
      <c r="R55" s="211"/>
      <c r="S55" s="211"/>
      <c r="T55" s="211"/>
      <c r="U55" s="211"/>
      <c r="V55" s="211"/>
    </row>
    <row r="56" spans="1:22" ht="15" hidden="1">
      <c r="A56" s="211"/>
      <c r="B56" s="798" t="s">
        <v>463</v>
      </c>
      <c r="C56" s="799"/>
      <c r="D56" s="798"/>
      <c r="E56" s="798"/>
      <c r="F56" s="798"/>
      <c r="G56" s="800">
        <f>S18+S19</f>
        <v>23450.295</v>
      </c>
      <c r="H56" s="800"/>
      <c r="I56" s="800"/>
      <c r="J56" s="800">
        <f>S23+S24+S29</f>
        <v>12313.849999999999</v>
      </c>
      <c r="K56" s="800">
        <f>S25+S26+S28</f>
        <v>48446.600000000006</v>
      </c>
      <c r="L56" s="800">
        <f t="shared" si="6"/>
        <v>84210.745</v>
      </c>
      <c r="M56" s="211"/>
      <c r="N56" s="211"/>
      <c r="O56" s="211"/>
      <c r="P56" s="211"/>
      <c r="Q56" s="211"/>
      <c r="R56" s="211"/>
      <c r="S56" s="211"/>
      <c r="T56" s="211"/>
      <c r="U56" s="211"/>
      <c r="V56" s="211"/>
    </row>
    <row r="57" spans="1:22" ht="15" hidden="1">
      <c r="A57" s="211"/>
      <c r="B57" s="798" t="s">
        <v>233</v>
      </c>
      <c r="C57" s="799"/>
      <c r="D57" s="798"/>
      <c r="E57" s="798"/>
      <c r="F57" s="798"/>
      <c r="G57" s="800" t="e">
        <f>SUM(G51:G56)</f>
        <v>#REF!</v>
      </c>
      <c r="H57" s="800"/>
      <c r="I57" s="800"/>
      <c r="J57" s="800" t="e">
        <f>SUM(J51:J56)</f>
        <v>#REF!</v>
      </c>
      <c r="K57" s="800" t="e">
        <f>SUM(K51:K56)</f>
        <v>#REF!</v>
      </c>
      <c r="L57" s="800" t="e">
        <f>SUM(L51:L56)</f>
        <v>#REF!</v>
      </c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1:22" ht="15" hidden="1">
      <c r="A58" s="211"/>
      <c r="B58" s="211"/>
      <c r="C58" s="736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</row>
    <row r="59" spans="1:22" ht="15" hidden="1">
      <c r="A59" s="211"/>
      <c r="B59" s="211"/>
      <c r="C59" s="736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5" hidden="1">
      <c r="A60" s="211"/>
      <c r="B60" s="211"/>
      <c r="C60" s="736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</row>
    <row r="61" spans="1:22" ht="15" hidden="1">
      <c r="A61" s="211"/>
      <c r="B61" s="211"/>
      <c r="C61" s="736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1:22" ht="15" hidden="1">
      <c r="A62" s="211"/>
      <c r="B62" s="211"/>
      <c r="C62" s="736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</row>
    <row r="63" spans="1:22" ht="15" hidden="1">
      <c r="A63" s="211"/>
      <c r="B63" s="211"/>
      <c r="C63" s="736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</row>
    <row r="64" spans="1:22" ht="15">
      <c r="A64" s="211"/>
      <c r="B64" s="211"/>
      <c r="C64" s="736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</row>
    <row r="65" spans="1:22" ht="15">
      <c r="A65" s="211"/>
      <c r="B65" s="211"/>
      <c r="C65" s="736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1:22" ht="15">
      <c r="A66" s="211"/>
      <c r="B66" s="211"/>
      <c r="C66" s="736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</row>
    <row r="67" spans="1:22" ht="15">
      <c r="A67" s="211"/>
      <c r="B67" s="211"/>
      <c r="C67" s="736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</row>
    <row r="68" spans="1:22" ht="15">
      <c r="A68" s="211"/>
      <c r="B68" s="211"/>
      <c r="C68" s="736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</row>
    <row r="69" spans="1:22" ht="15">
      <c r="A69" s="211"/>
      <c r="B69" s="211"/>
      <c r="C69" s="736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5">
      <c r="A70" s="211"/>
      <c r="B70" s="211"/>
      <c r="C70" s="736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</row>
    <row r="71" spans="1:22" ht="15">
      <c r="A71" s="211"/>
      <c r="B71" s="211"/>
      <c r="C71" s="736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</row>
    <row r="72" spans="1:22" ht="15">
      <c r="A72" s="211"/>
      <c r="B72" s="211"/>
      <c r="C72" s="736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</row>
    <row r="73" spans="1:22" ht="15">
      <c r="A73" s="211"/>
      <c r="B73" s="211"/>
      <c r="C73" s="736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</row>
  </sheetData>
  <sheetProtection/>
  <mergeCells count="26">
    <mergeCell ref="T13:T17"/>
    <mergeCell ref="U13:U17"/>
    <mergeCell ref="J14:J17"/>
    <mergeCell ref="L14:L17"/>
    <mergeCell ref="M14:M17"/>
    <mergeCell ref="N14:N17"/>
    <mergeCell ref="O14:O17"/>
    <mergeCell ref="P14:P17"/>
    <mergeCell ref="Q14:Q17"/>
    <mergeCell ref="R14:R17"/>
    <mergeCell ref="B10:L10"/>
    <mergeCell ref="A13:A17"/>
    <mergeCell ref="C13:C17"/>
    <mergeCell ref="D13:D17"/>
    <mergeCell ref="F13:F17"/>
    <mergeCell ref="G13:G17"/>
    <mergeCell ref="H13:H17"/>
    <mergeCell ref="I13:I17"/>
    <mergeCell ref="K13:K17"/>
    <mergeCell ref="L13:R13"/>
    <mergeCell ref="R2:W2"/>
    <mergeCell ref="R3:T3"/>
    <mergeCell ref="R4:W4"/>
    <mergeCell ref="B8:L8"/>
    <mergeCell ref="B9:L9"/>
    <mergeCell ref="N9:S9"/>
  </mergeCells>
  <printOptions horizontalCentered="1"/>
  <pageMargins left="0.3937007874015748" right="0" top="0.2362204724409449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2023-09-28T08:07:49Z</cp:lastPrinted>
  <dcterms:created xsi:type="dcterms:W3CDTF">2004-04-30T06:23:17Z</dcterms:created>
  <dcterms:modified xsi:type="dcterms:W3CDTF">2023-09-28T08:39:23Z</dcterms:modified>
  <cp:category/>
  <cp:version/>
  <cp:contentType/>
  <cp:contentStatus/>
</cp:coreProperties>
</file>