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ІРЦ з 01.12.21р." sheetId="1" r:id="rId1"/>
  </sheets>
  <externalReferences>
    <externalReference r:id="rId4"/>
  </externalReferences>
  <definedNames>
    <definedName name="Excel_BuiltIn_Print_Area" localSheetId="0">'ІРЦ з 01.12.21р.'!$A$1:$R$124</definedName>
    <definedName name="_xlnm.Print_Area" localSheetId="0">'ІРЦ з 01.12.21р.'!$A$1:$R$124</definedName>
  </definedNames>
  <calcPr fullCalcOnLoad="1"/>
</workbook>
</file>

<file path=xl/sharedStrings.xml><?xml version="1.0" encoding="utf-8"?>
<sst xmlns="http://schemas.openxmlformats.org/spreadsheetml/2006/main" count="84" uniqueCount="69">
  <si>
    <t>Додаток</t>
  </si>
  <si>
    <t>ЗАТВЕРДЖЕНО:</t>
  </si>
  <si>
    <t xml:space="preserve">Рішення 16 сесії міської ради 8 скликання </t>
  </si>
  <si>
    <t>Покровської міської ради від</t>
  </si>
  <si>
    <t>2021 року</t>
  </si>
  <si>
    <t>№</t>
  </si>
  <si>
    <t xml:space="preserve">Міський голова ______________Олександр ШАПОВАЛ </t>
  </si>
  <si>
    <t>штат у кількості   6,5  штатних одиниць</t>
  </si>
  <si>
    <t>з місячним фондом заробітної плати 99351,86 грн</t>
  </si>
  <si>
    <t>( дев"яносто дев"ять тис.триста п"ятдесят одна грн.86 коп)</t>
  </si>
  <si>
    <t xml:space="preserve">Штатний розпис  з 01.12.2021 </t>
  </si>
  <si>
    <t>комунальної установи "Інклюзивно-ресурсний центр виконавчого комітету  Покровської міської ради "</t>
  </si>
  <si>
    <t>(назва установи,організації)</t>
  </si>
  <si>
    <t>грн.</t>
  </si>
  <si>
    <t>назва структурного</t>
  </si>
  <si>
    <t>кільк</t>
  </si>
  <si>
    <t>посадовий оклад</t>
  </si>
  <si>
    <t>тариф ний роз  ряд</t>
  </si>
  <si>
    <t>ЗП  по тарифному розряду</t>
  </si>
  <si>
    <t>Підвищення по Постанові №22</t>
  </si>
  <si>
    <t>підвищення окладів</t>
  </si>
  <si>
    <t>надбавки</t>
  </si>
  <si>
    <t>доплати</t>
  </si>
  <si>
    <t>ФЗП на місяць</t>
  </si>
  <si>
    <t>ФЗП на 2022 рік</t>
  </si>
  <si>
    <t>підрозділу та посада</t>
  </si>
  <si>
    <t>штат</t>
  </si>
  <si>
    <t>за звання</t>
  </si>
  <si>
    <t>за специфікацію(25%),20%</t>
  </si>
  <si>
    <t>вислуга</t>
  </si>
  <si>
    <t xml:space="preserve">за престижність-30% </t>
  </si>
  <si>
    <t>за складність та напрудженість</t>
  </si>
  <si>
    <t>доплата до мін.6500</t>
  </si>
  <si>
    <t>За використання в роботі деззасобів 10%</t>
  </si>
  <si>
    <t>посад</t>
  </si>
  <si>
    <t xml:space="preserve">Директор </t>
  </si>
  <si>
    <t>Фахівець(консультант)</t>
  </si>
  <si>
    <t>Практичний психолог</t>
  </si>
  <si>
    <t>Вчитель-логопед</t>
  </si>
  <si>
    <t>Вчитель дефектолог(тифлопедагог)</t>
  </si>
  <si>
    <t>Вчитель-реабілітолог</t>
  </si>
  <si>
    <t>Прибиральник службових приміщень</t>
  </si>
  <si>
    <t>ВСЬОГО</t>
  </si>
  <si>
    <t xml:space="preserve">                                                           </t>
  </si>
  <si>
    <t>О.В.Собеніна</t>
  </si>
  <si>
    <t>збільшення з 01.12.15 всього</t>
  </si>
  <si>
    <t>Челнокова І.І.</t>
  </si>
  <si>
    <t>.</t>
  </si>
  <si>
    <t>з/пл МОП та спец.</t>
  </si>
  <si>
    <t>розряди</t>
  </si>
  <si>
    <t>ставки ставки на 01.09.2015</t>
  </si>
  <si>
    <t>заклад</t>
  </si>
  <si>
    <t>тариф</t>
  </si>
  <si>
    <t>адмін</t>
  </si>
  <si>
    <t>спец</t>
  </si>
  <si>
    <t>моп</t>
  </si>
  <si>
    <t>всього</t>
  </si>
  <si>
    <t>висл.</t>
  </si>
  <si>
    <t>ліцей</t>
  </si>
  <si>
    <t>ніч.час</t>
  </si>
  <si>
    <t>НВК№1</t>
  </si>
  <si>
    <t>шкідл.умови</t>
  </si>
  <si>
    <t>Олекс.</t>
  </si>
  <si>
    <t>Чортом.</t>
  </si>
  <si>
    <t>контрольна</t>
  </si>
  <si>
    <t xml:space="preserve">Зведення зарплати </t>
  </si>
  <si>
    <t>контрольна ЗП</t>
  </si>
  <si>
    <t>контрольна ставки</t>
  </si>
  <si>
    <t>контроль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</si>
</sst>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0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/>
    </xf>
    <xf numFmtId="2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9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7" fillId="0" borderId="14" xfId="0" applyFont="1" applyFill="1" applyBorder="1" applyAlignment="1">
      <alignment horizontal="justify" vertical="center" wrapText="1"/>
    </xf>
    <xf numFmtId="164" fontId="17" fillId="0" borderId="18" xfId="0" applyNumberFormat="1" applyFont="1" applyFill="1" applyBorder="1" applyAlignment="1">
      <alignment horizontal="justify" vertical="center" wrapText="1"/>
    </xf>
    <xf numFmtId="164" fontId="9" fillId="0" borderId="14" xfId="0" applyNumberFormat="1" applyFont="1" applyFill="1" applyBorder="1" applyAlignment="1">
      <alignment horizontal="justify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justify" vertical="center" wrapText="1"/>
    </xf>
    <xf numFmtId="2" fontId="18" fillId="0" borderId="0" xfId="0" applyNumberFormat="1" applyFont="1" applyFill="1" applyBorder="1" applyAlignment="1">
      <alignment/>
    </xf>
    <xf numFmtId="164" fontId="17" fillId="0" borderId="14" xfId="0" applyNumberFormat="1" applyFont="1" applyFill="1" applyBorder="1" applyAlignment="1">
      <alignment horizontal="justify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justify" vertical="center" wrapText="1"/>
    </xf>
    <xf numFmtId="0" fontId="17" fillId="0" borderId="14" xfId="0" applyNumberFormat="1" applyFont="1" applyFill="1" applyBorder="1" applyAlignment="1">
      <alignment horizontal="justify" vertical="center" wrapText="1"/>
    </xf>
    <xf numFmtId="164" fontId="17" fillId="0" borderId="14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164" fontId="17" fillId="0" borderId="14" xfId="0" applyNumberFormat="1" applyFont="1" applyFill="1" applyBorder="1" applyAlignment="1">
      <alignment horizontal="left" vertical="center"/>
    </xf>
    <xf numFmtId="164" fontId="17" fillId="0" borderId="14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vertical="center"/>
    </xf>
    <xf numFmtId="2" fontId="17" fillId="0" borderId="14" xfId="0" applyNumberFormat="1" applyFont="1" applyFill="1" applyBorder="1" applyAlignment="1">
      <alignment horizontal="left" vertical="center"/>
    </xf>
    <xf numFmtId="0" fontId="17" fillId="0" borderId="14" xfId="0" applyFont="1" applyFill="1" applyBorder="1" applyAlignment="1">
      <alignment/>
    </xf>
    <xf numFmtId="1" fontId="17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7" fillId="0" borderId="14" xfId="0" applyFont="1" applyFill="1" applyBorder="1" applyAlignment="1">
      <alignment horizontal="justify" vertical="center"/>
    </xf>
    <xf numFmtId="2" fontId="2" fillId="0" borderId="0" xfId="0" applyNumberFormat="1" applyFont="1" applyFill="1" applyAlignment="1">
      <alignment/>
    </xf>
    <xf numFmtId="0" fontId="17" fillId="0" borderId="14" xfId="0" applyFont="1" applyFill="1" applyBorder="1" applyAlignment="1">
      <alignment horizontal="justify" vertical="distributed" wrapText="1"/>
    </xf>
    <xf numFmtId="0" fontId="2" fillId="0" borderId="14" xfId="0" applyFont="1" applyFill="1" applyBorder="1" applyAlignment="1">
      <alignment/>
    </xf>
    <xf numFmtId="2" fontId="17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2" fontId="17" fillId="0" borderId="14" xfId="0" applyNumberFormat="1" applyFont="1" applyFill="1" applyBorder="1" applyAlignment="1">
      <alignment horizontal="justify" vertical="center"/>
    </xf>
    <xf numFmtId="0" fontId="17" fillId="0" borderId="0" xfId="0" applyFont="1" applyFill="1" applyAlignment="1">
      <alignment horizontal="justify"/>
    </xf>
    <xf numFmtId="0" fontId="17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2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justify" wrapText="1"/>
    </xf>
    <xf numFmtId="2" fontId="13" fillId="0" borderId="0" xfId="0" applyNumberFormat="1" applyFont="1" applyFill="1" applyAlignment="1">
      <alignment horizontal="justify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19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2" fontId="2" fillId="0" borderId="14" xfId="0" applyNumberFormat="1" applyFont="1" applyFill="1" applyBorder="1" applyAlignment="1">
      <alignment/>
    </xf>
    <xf numFmtId="2" fontId="2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center" textRotation="90" wrapText="1"/>
    </xf>
    <xf numFmtId="0" fontId="4" fillId="0" borderId="0" xfId="0" applyFont="1" applyFill="1" applyBorder="1" applyAlignment="1">
      <alignment horizontal="justify" vertical="center" textRotation="90" wrapText="1"/>
    </xf>
    <xf numFmtId="0" fontId="2" fillId="0" borderId="14" xfId="0" applyFont="1" applyFill="1" applyBorder="1" applyAlignment="1">
      <alignment horizontal="center" textRotation="90"/>
    </xf>
    <xf numFmtId="9" fontId="9" fillId="0" borderId="14" xfId="0" applyNumberFormat="1" applyFont="1" applyFill="1" applyBorder="1" applyAlignment="1">
      <alignment horizontal="justify" vertical="center" textRotation="90"/>
    </xf>
    <xf numFmtId="0" fontId="9" fillId="0" borderId="14" xfId="0" applyFont="1" applyFill="1" applyBorder="1" applyAlignment="1">
      <alignment horizontal="center" textRotation="90"/>
    </xf>
    <xf numFmtId="0" fontId="16" fillId="0" borderId="14" xfId="0" applyFont="1" applyFill="1" applyBorder="1" applyAlignment="1">
      <alignment horizontal="justify" vertical="center" textRotation="90" wrapText="1"/>
    </xf>
    <xf numFmtId="9" fontId="9" fillId="0" borderId="14" xfId="0" applyNumberFormat="1" applyFont="1" applyFill="1" applyBorder="1" applyAlignment="1">
      <alignment horizontal="justify" vertical="center" textRotation="90" wrapText="1"/>
    </xf>
    <xf numFmtId="0" fontId="9" fillId="0" borderId="14" xfId="0" applyFont="1" applyFill="1" applyBorder="1" applyAlignment="1">
      <alignment horizontal="justify" vertical="center" textRotation="90"/>
    </xf>
    <xf numFmtId="0" fontId="19" fillId="0" borderId="0" xfId="0" applyFont="1" applyFill="1" applyBorder="1" applyAlignment="1">
      <alignment horizontal="justify" vertical="center" wrapText="1"/>
    </xf>
    <xf numFmtId="2" fontId="2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102;&#1076;&#1078;&#1077;&#1090;%20&#1079;&#1072;&#1090;&#1074;&#1077;&#1088;&#1076;&#1078;&#1077;&#1085;&#1080;&#1081;%20&#1085;&#1072;%202019&#1088;\&#1096;&#1090;&#1072;&#1090;&#1085;&#1080;&#1081;%20&#1088;&#1086;&#1079;&#1087;&#1080;&#1089;%20&#1079;%2001.01.2019\&#1047;&#1055;%20&#1085;&#1072;%202019\&#1096;&#1090;&#1072;&#1090;&#1080;%202015\&#1090;&#1072;&#1088;&#1080;&#1092;&#1110;&#1082;&#1072;&#1094;&#1110;&#1103;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.ть вар. та інвар.годин"/>
      <sheetName val="звед.з.пл."/>
      <sheetName val="ставки"/>
      <sheetName val="2"/>
      <sheetName val="ДНЗ"/>
      <sheetName val="ШКОЛИ та ін."/>
    </sheetNames>
    <sheetDataSet>
      <sheetData sheetId="5">
        <row r="6">
          <cell r="J6">
            <v>29.72222222222222</v>
          </cell>
        </row>
        <row r="7">
          <cell r="J7">
            <v>26.97222222222222</v>
          </cell>
        </row>
        <row r="8">
          <cell r="J8">
            <v>17.11111111111111</v>
          </cell>
        </row>
        <row r="9">
          <cell r="J9">
            <v>36.22222222222222</v>
          </cell>
        </row>
        <row r="10">
          <cell r="J10">
            <v>42.75</v>
          </cell>
        </row>
        <row r="11">
          <cell r="J11">
            <v>40.361111111111114</v>
          </cell>
        </row>
        <row r="12">
          <cell r="J12">
            <v>42.416666666666664</v>
          </cell>
        </row>
        <row r="13">
          <cell r="J13">
            <v>14.277777777777779</v>
          </cell>
        </row>
        <row r="14">
          <cell r="J14">
            <v>14.694444444444445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B178"/>
  <sheetViews>
    <sheetView tabSelected="1" view="pageBreakPreview" zoomScale="82" zoomScaleSheetLayoutView="82" zoomScalePageLayoutView="0" workbookViewId="0" topLeftCell="A31">
      <selection activeCell="M50" sqref="M50"/>
    </sheetView>
  </sheetViews>
  <sheetFormatPr defaultColWidth="9.125" defaultRowHeight="12.75"/>
  <cols>
    <col min="1" max="1" width="3.875" style="1" customWidth="1"/>
    <col min="2" max="2" width="31.00390625" style="1" customWidth="1"/>
    <col min="3" max="3" width="6.875" style="1" customWidth="1"/>
    <col min="4" max="4" width="10.50390625" style="1" customWidth="1"/>
    <col min="5" max="5" width="10.375" style="1" customWidth="1"/>
    <col min="6" max="6" width="13.50390625" style="2" customWidth="1"/>
    <col min="7" max="7" width="11.00390625" style="2" customWidth="1"/>
    <col min="8" max="8" width="8.50390625" style="1" customWidth="1"/>
    <col min="9" max="9" width="13.00390625" style="1" customWidth="1"/>
    <col min="10" max="11" width="11.625" style="1" customWidth="1"/>
    <col min="12" max="12" width="13.625" style="1" customWidth="1"/>
    <col min="13" max="13" width="12.875" style="1" customWidth="1"/>
    <col min="14" max="14" width="12.625" style="1" customWidth="1"/>
    <col min="15" max="15" width="9.50390625" style="1" hidden="1" customWidth="1"/>
    <col min="16" max="16" width="8.50390625" style="1" hidden="1" customWidth="1"/>
    <col min="17" max="17" width="24.125" style="1" customWidth="1"/>
    <col min="18" max="18" width="14.375" style="1" customWidth="1"/>
    <col min="19" max="19" width="7.00390625" style="1" customWidth="1"/>
    <col min="20" max="20" width="11.875" style="1" customWidth="1"/>
    <col min="21" max="21" width="12.125" style="1" hidden="1" customWidth="1"/>
    <col min="22" max="22" width="12.50390625" style="1" hidden="1" customWidth="1"/>
    <col min="23" max="23" width="11.375" style="1" hidden="1" customWidth="1"/>
    <col min="24" max="24" width="9.625" style="1" hidden="1" customWidth="1"/>
    <col min="25" max="25" width="10.375" style="1" hidden="1" customWidth="1"/>
    <col min="26" max="26" width="10.625" style="1" hidden="1" customWidth="1"/>
    <col min="27" max="27" width="10.50390625" style="1" customWidth="1"/>
    <col min="28" max="28" width="9.125" style="1" customWidth="1"/>
    <col min="29" max="29" width="10.375" style="1" customWidth="1"/>
    <col min="30" max="16384" width="9.125" style="1" customWidth="1"/>
  </cols>
  <sheetData>
    <row r="1" spans="1:23" ht="18">
      <c r="A1" s="3"/>
      <c r="B1" s="4"/>
      <c r="C1" s="5"/>
      <c r="D1" s="5"/>
      <c r="E1" s="6"/>
      <c r="F1" s="7"/>
      <c r="G1" s="7"/>
      <c r="H1" s="8"/>
      <c r="I1" s="8"/>
      <c r="J1" s="8"/>
      <c r="K1" s="8"/>
      <c r="L1" s="9" t="s">
        <v>0</v>
      </c>
      <c r="M1" s="10"/>
      <c r="N1" s="10"/>
      <c r="O1" s="10"/>
      <c r="P1" s="10"/>
      <c r="Q1" s="10"/>
      <c r="R1" s="11"/>
      <c r="S1" s="8"/>
      <c r="T1" s="12"/>
      <c r="U1" s="12"/>
      <c r="V1" s="12"/>
      <c r="W1" s="12"/>
    </row>
    <row r="2" spans="1:22" s="18" customFormat="1" ht="20.2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5" t="s">
        <v>1</v>
      </c>
      <c r="M2" s="16"/>
      <c r="N2" s="1"/>
      <c r="O2" s="16"/>
      <c r="P2" s="16"/>
      <c r="Q2" s="16"/>
      <c r="R2" s="17"/>
      <c r="S2" s="17"/>
      <c r="U2" s="19"/>
      <c r="V2" s="19"/>
    </row>
    <row r="3" spans="1:22" s="18" customFormat="1" ht="20.25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  <c r="L3" s="15" t="s">
        <v>2</v>
      </c>
      <c r="M3" s="15"/>
      <c r="N3" s="20"/>
      <c r="O3" s="15"/>
      <c r="P3" s="15"/>
      <c r="Q3" s="15"/>
      <c r="R3" s="21"/>
      <c r="S3" s="21"/>
      <c r="U3" s="19"/>
      <c r="V3" s="19"/>
    </row>
    <row r="4" spans="1:22" s="18" customFormat="1" ht="20.25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  <c r="L4" s="15" t="s">
        <v>3</v>
      </c>
      <c r="M4" s="15"/>
      <c r="N4" s="20"/>
      <c r="O4" s="15"/>
      <c r="P4" s="15"/>
      <c r="Q4" s="15"/>
      <c r="R4" s="21"/>
      <c r="S4" s="21"/>
      <c r="U4" s="19"/>
      <c r="V4" s="19"/>
    </row>
    <row r="5" spans="1:22" s="18" customFormat="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22"/>
      <c r="M5" s="23" t="s">
        <v>4</v>
      </c>
      <c r="N5" s="23" t="s">
        <v>5</v>
      </c>
      <c r="O5" s="24" t="s">
        <v>5</v>
      </c>
      <c r="P5" s="25" t="s">
        <v>5</v>
      </c>
      <c r="Q5" s="26"/>
      <c r="R5" s="27"/>
      <c r="S5" s="27"/>
      <c r="V5" s="19"/>
    </row>
    <row r="6" spans="1:22" s="18" customFormat="1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28" t="s">
        <v>6</v>
      </c>
      <c r="M6" s="26"/>
      <c r="N6" s="26"/>
      <c r="O6" s="24"/>
      <c r="P6" s="25"/>
      <c r="Q6" s="26"/>
      <c r="R6" s="27"/>
      <c r="S6" s="27"/>
      <c r="V6" s="19"/>
    </row>
    <row r="7" spans="1:22" s="18" customFormat="1" ht="17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6" t="s">
        <v>7</v>
      </c>
      <c r="M7" s="136"/>
      <c r="N7" s="136"/>
      <c r="O7" s="136"/>
      <c r="P7" s="136"/>
      <c r="Q7" s="136"/>
      <c r="R7" s="29"/>
      <c r="S7" s="30"/>
      <c r="U7" s="31"/>
      <c r="V7" s="19"/>
    </row>
    <row r="8" spans="1:22" s="18" customFormat="1" ht="2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6" t="s">
        <v>8</v>
      </c>
      <c r="M8" s="136"/>
      <c r="N8" s="136"/>
      <c r="O8" s="136"/>
      <c r="P8" s="136"/>
      <c r="Q8" s="136"/>
      <c r="R8" s="32"/>
      <c r="S8" s="33"/>
      <c r="U8" s="34"/>
      <c r="V8" s="17"/>
    </row>
    <row r="9" spans="1:21" s="18" customFormat="1" ht="18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35" t="s">
        <v>9</v>
      </c>
      <c r="M9" s="36"/>
      <c r="N9" s="37"/>
      <c r="O9" s="38"/>
      <c r="P9" s="38"/>
      <c r="Q9" s="38"/>
      <c r="R9" s="32"/>
      <c r="U9" s="34"/>
    </row>
    <row r="10" spans="1:21" ht="15">
      <c r="A10" s="39"/>
      <c r="B10" s="137" t="s">
        <v>10</v>
      </c>
      <c r="C10" s="137"/>
      <c r="D10" s="137"/>
      <c r="E10" s="137"/>
      <c r="F10" s="137"/>
      <c r="G10" s="137"/>
      <c r="H10" s="137"/>
      <c r="I10" s="137"/>
      <c r="J10" s="137"/>
      <c r="K10" s="39"/>
      <c r="L10" s="40"/>
      <c r="M10" s="41"/>
      <c r="N10" s="42"/>
      <c r="O10" s="43"/>
      <c r="P10" s="43"/>
      <c r="Q10" s="41"/>
      <c r="R10" s="41"/>
      <c r="S10" s="44"/>
      <c r="T10" s="44"/>
      <c r="U10" s="44"/>
    </row>
    <row r="11" spans="1:21" ht="20.25" customHeight="1">
      <c r="A11" s="39"/>
      <c r="B11" s="138" t="s">
        <v>11</v>
      </c>
      <c r="C11" s="138"/>
      <c r="D11" s="138"/>
      <c r="E11" s="138"/>
      <c r="F11" s="138"/>
      <c r="G11" s="138"/>
      <c r="H11" s="138"/>
      <c r="I11" s="138"/>
      <c r="J11" s="138"/>
      <c r="K11" s="39"/>
      <c r="M11" s="139"/>
      <c r="N11" s="139"/>
      <c r="O11" s="41"/>
      <c r="P11" s="41"/>
      <c r="Q11" s="44"/>
      <c r="R11" s="44"/>
      <c r="S11" s="39"/>
      <c r="T11" s="39"/>
      <c r="U11" s="39"/>
    </row>
    <row r="12" spans="1:20" ht="13.5">
      <c r="A12" s="39"/>
      <c r="B12" s="140" t="s">
        <v>12</v>
      </c>
      <c r="C12" s="140"/>
      <c r="D12" s="140"/>
      <c r="E12" s="140"/>
      <c r="F12" s="140"/>
      <c r="G12" s="140"/>
      <c r="H12" s="140"/>
      <c r="I12" s="140"/>
      <c r="J12" s="140"/>
      <c r="K12" s="45"/>
      <c r="L12" s="40"/>
      <c r="M12" s="42"/>
      <c r="N12" s="42"/>
      <c r="O12" s="43"/>
      <c r="P12" s="43"/>
      <c r="Q12" s="41"/>
      <c r="R12" s="41"/>
      <c r="S12" s="45"/>
      <c r="T12" s="39"/>
    </row>
    <row r="13" spans="1:20" ht="13.5">
      <c r="A13" s="39"/>
      <c r="B13" s="39"/>
      <c r="C13" s="39"/>
      <c r="D13" s="39"/>
      <c r="E13" s="39"/>
      <c r="F13" s="46"/>
      <c r="G13" s="46"/>
      <c r="H13" s="39"/>
      <c r="I13" s="39"/>
      <c r="J13" s="39"/>
      <c r="K13" s="45"/>
      <c r="L13" s="45"/>
      <c r="M13" s="42"/>
      <c r="N13" s="42"/>
      <c r="O13" s="40"/>
      <c r="P13" s="40"/>
      <c r="Q13" s="40"/>
      <c r="R13" s="47"/>
      <c r="S13" s="45"/>
      <c r="T13" s="39"/>
    </row>
    <row r="14" spans="1:20" ht="13.5">
      <c r="A14" s="39"/>
      <c r="B14" s="39"/>
      <c r="C14" s="39"/>
      <c r="D14" s="39"/>
      <c r="E14" s="39"/>
      <c r="F14" s="46"/>
      <c r="G14" s="46"/>
      <c r="H14" s="39"/>
      <c r="I14" s="39"/>
      <c r="J14" s="39"/>
      <c r="K14" s="45"/>
      <c r="L14" s="45"/>
      <c r="M14" s="40"/>
      <c r="N14" s="40"/>
      <c r="O14" s="40"/>
      <c r="P14" s="40"/>
      <c r="Q14" s="40"/>
      <c r="R14" s="45"/>
      <c r="S14" s="45"/>
      <c r="T14" s="39"/>
    </row>
    <row r="15" spans="1:20" ht="13.5">
      <c r="A15" s="39"/>
      <c r="B15" s="39"/>
      <c r="C15" s="39"/>
      <c r="D15" s="39"/>
      <c r="E15" s="39"/>
      <c r="F15" s="46"/>
      <c r="G15" s="46"/>
      <c r="H15" s="39"/>
      <c r="I15" s="39"/>
      <c r="J15" s="39"/>
      <c r="K15" s="39"/>
      <c r="L15" s="39"/>
      <c r="M15" s="39"/>
      <c r="N15" s="39"/>
      <c r="O15" s="39"/>
      <c r="P15" s="39"/>
      <c r="Q15" s="48" t="s">
        <v>13</v>
      </c>
      <c r="S15" s="39"/>
      <c r="T15" s="39"/>
    </row>
    <row r="16" spans="1:27" ht="24" customHeight="1">
      <c r="A16" s="141" t="s">
        <v>5</v>
      </c>
      <c r="B16" s="50" t="s">
        <v>14</v>
      </c>
      <c r="C16" s="51" t="s">
        <v>15</v>
      </c>
      <c r="D16" s="142" t="s">
        <v>16</v>
      </c>
      <c r="E16" s="143" t="s">
        <v>17</v>
      </c>
      <c r="F16" s="143" t="s">
        <v>18</v>
      </c>
      <c r="G16" s="144" t="s">
        <v>19</v>
      </c>
      <c r="H16" s="52" t="s">
        <v>20</v>
      </c>
      <c r="I16" s="52"/>
      <c r="J16" s="145" t="s">
        <v>21</v>
      </c>
      <c r="K16" s="145"/>
      <c r="L16" s="145"/>
      <c r="M16" s="145"/>
      <c r="N16" s="52" t="s">
        <v>22</v>
      </c>
      <c r="O16" s="52"/>
      <c r="P16" s="52"/>
      <c r="Q16" s="146" t="s">
        <v>23</v>
      </c>
      <c r="R16" s="146" t="s">
        <v>24</v>
      </c>
      <c r="S16" s="147"/>
      <c r="T16" s="45"/>
      <c r="U16" s="54"/>
      <c r="V16" s="54"/>
      <c r="W16" s="54"/>
      <c r="X16" s="54"/>
      <c r="Y16" s="54"/>
      <c r="Z16" s="54"/>
      <c r="AA16" s="54"/>
    </row>
    <row r="17" spans="1:27" ht="12.75" customHeight="1">
      <c r="A17" s="141"/>
      <c r="B17" s="55" t="s">
        <v>25</v>
      </c>
      <c r="C17" s="56" t="s">
        <v>26</v>
      </c>
      <c r="D17" s="142"/>
      <c r="E17" s="143"/>
      <c r="F17" s="143"/>
      <c r="G17" s="144"/>
      <c r="H17" s="148" t="s">
        <v>27</v>
      </c>
      <c r="I17" s="149" t="s">
        <v>28</v>
      </c>
      <c r="J17" s="150" t="s">
        <v>29</v>
      </c>
      <c r="K17" s="149" t="s">
        <v>30</v>
      </c>
      <c r="L17" s="151" t="s">
        <v>31</v>
      </c>
      <c r="M17" s="152" t="s">
        <v>32</v>
      </c>
      <c r="N17" s="153" t="s">
        <v>33</v>
      </c>
      <c r="O17" s="153"/>
      <c r="P17" s="153"/>
      <c r="Q17" s="146"/>
      <c r="R17" s="146"/>
      <c r="S17" s="147"/>
      <c r="T17" s="45"/>
      <c r="U17" s="54"/>
      <c r="V17" s="54"/>
      <c r="W17" s="54"/>
      <c r="X17" s="54"/>
      <c r="Y17" s="54"/>
      <c r="Z17" s="54"/>
      <c r="AA17" s="54"/>
    </row>
    <row r="18" spans="1:27" ht="13.5">
      <c r="A18" s="141"/>
      <c r="B18" s="55"/>
      <c r="C18" s="56" t="s">
        <v>34</v>
      </c>
      <c r="D18" s="142"/>
      <c r="E18" s="143"/>
      <c r="F18" s="143"/>
      <c r="G18" s="144"/>
      <c r="H18" s="148"/>
      <c r="I18" s="149"/>
      <c r="J18" s="150"/>
      <c r="K18" s="149"/>
      <c r="L18" s="151"/>
      <c r="M18" s="152"/>
      <c r="N18" s="153"/>
      <c r="O18" s="153"/>
      <c r="P18" s="153"/>
      <c r="Q18" s="146"/>
      <c r="R18" s="146"/>
      <c r="S18" s="147"/>
      <c r="T18" s="45"/>
      <c r="U18" s="54"/>
      <c r="V18" s="54"/>
      <c r="W18" s="54"/>
      <c r="X18" s="54"/>
      <c r="Y18" s="54"/>
      <c r="Z18" s="54"/>
      <c r="AA18" s="54"/>
    </row>
    <row r="19" spans="1:27" ht="13.5">
      <c r="A19" s="49"/>
      <c r="B19" s="55"/>
      <c r="C19" s="56"/>
      <c r="D19" s="142"/>
      <c r="E19" s="143"/>
      <c r="F19" s="143"/>
      <c r="G19" s="144"/>
      <c r="H19" s="148"/>
      <c r="I19" s="149"/>
      <c r="J19" s="150"/>
      <c r="K19" s="149"/>
      <c r="L19" s="151"/>
      <c r="M19" s="152"/>
      <c r="N19" s="153"/>
      <c r="O19" s="153"/>
      <c r="P19" s="153"/>
      <c r="Q19" s="146"/>
      <c r="R19" s="146"/>
      <c r="S19" s="147"/>
      <c r="T19" s="45"/>
      <c r="U19" s="54"/>
      <c r="V19" s="54"/>
      <c r="W19" s="54"/>
      <c r="X19" s="54"/>
      <c r="Y19" s="54"/>
      <c r="Z19" s="54"/>
      <c r="AA19" s="54"/>
    </row>
    <row r="20" spans="1:27" ht="91.5" customHeight="1">
      <c r="A20" s="49"/>
      <c r="B20" s="57"/>
      <c r="C20" s="58"/>
      <c r="D20" s="142"/>
      <c r="E20" s="143"/>
      <c r="F20" s="143"/>
      <c r="G20" s="144"/>
      <c r="H20" s="148"/>
      <c r="I20" s="149"/>
      <c r="J20" s="150"/>
      <c r="K20" s="149"/>
      <c r="L20" s="151"/>
      <c r="M20" s="152"/>
      <c r="N20" s="153"/>
      <c r="O20" s="153"/>
      <c r="P20" s="153"/>
      <c r="Q20" s="146"/>
      <c r="R20" s="146"/>
      <c r="S20" s="147"/>
      <c r="T20" s="45"/>
      <c r="U20" s="54"/>
      <c r="V20" s="54"/>
      <c r="W20" s="54"/>
      <c r="X20" s="54"/>
      <c r="Y20" s="54"/>
      <c r="Z20" s="54"/>
      <c r="AA20" s="54"/>
    </row>
    <row r="21" spans="1:27" ht="34.5" customHeight="1">
      <c r="A21" s="53">
        <v>1</v>
      </c>
      <c r="B21" s="59" t="s">
        <v>35</v>
      </c>
      <c r="C21" s="60">
        <v>1</v>
      </c>
      <c r="D21" s="61">
        <v>8071</v>
      </c>
      <c r="E21" s="62">
        <v>16</v>
      </c>
      <c r="F21" s="63">
        <f>D21*C21</f>
        <v>8071</v>
      </c>
      <c r="G21" s="63">
        <f>F21*C21*10%</f>
        <v>807.1</v>
      </c>
      <c r="H21" s="63"/>
      <c r="I21" s="63">
        <f>D21*25%</f>
        <v>2017.75</v>
      </c>
      <c r="J21" s="63">
        <f>(F21+G21+H21+I21)*30%</f>
        <v>3268.755</v>
      </c>
      <c r="K21" s="63">
        <f>(F21+G21+H21+I21)*30%</f>
        <v>3268.755</v>
      </c>
      <c r="L21" s="63">
        <f>F21*30%</f>
        <v>2421.2999999999997</v>
      </c>
      <c r="M21" s="63"/>
      <c r="N21" s="63"/>
      <c r="O21" s="63"/>
      <c r="P21" s="63"/>
      <c r="Q21" s="63">
        <f>F21+G21+H21+I21+J21+K21+L21+M21+N21</f>
        <v>19854.66</v>
      </c>
      <c r="R21" s="63">
        <f aca="true" t="shared" si="0" ref="R21:R30">Q21*9+Q21*1.031*3+F21+F21*10%</f>
        <v>248980.50338</v>
      </c>
      <c r="S21" s="64"/>
      <c r="T21" s="64"/>
      <c r="U21" s="54"/>
      <c r="V21" s="54"/>
      <c r="W21" s="54"/>
      <c r="X21" s="54"/>
      <c r="Y21" s="54"/>
      <c r="Z21" s="54"/>
      <c r="AA21" s="54"/>
    </row>
    <row r="22" spans="1:27" ht="16.5" hidden="1">
      <c r="A22" s="145">
        <v>2</v>
      </c>
      <c r="B22" s="59"/>
      <c r="C22" s="65"/>
      <c r="D22" s="61"/>
      <c r="E22" s="66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>
        <f t="shared" si="0"/>
        <v>0</v>
      </c>
      <c r="S22" s="64"/>
      <c r="T22" s="64"/>
      <c r="U22" s="54"/>
      <c r="V22" s="54"/>
      <c r="W22" s="54"/>
      <c r="X22" s="54"/>
      <c r="Y22" s="54"/>
      <c r="Z22" s="54"/>
      <c r="AA22" s="54"/>
    </row>
    <row r="23" spans="1:27" ht="36.75" customHeight="1">
      <c r="A23" s="145"/>
      <c r="B23" s="59" t="s">
        <v>36</v>
      </c>
      <c r="C23" s="65">
        <v>5</v>
      </c>
      <c r="D23" s="61">
        <v>7464</v>
      </c>
      <c r="E23" s="62">
        <v>15</v>
      </c>
      <c r="F23" s="63">
        <f aca="true" t="shared" si="1" ref="F23:F29">D23*C23</f>
        <v>37320</v>
      </c>
      <c r="G23" s="63">
        <f>F23*10%</f>
        <v>3732</v>
      </c>
      <c r="H23" s="63"/>
      <c r="I23" s="63">
        <f>F23*25%</f>
        <v>9330</v>
      </c>
      <c r="J23" s="63">
        <f>9765.19*1.084</f>
        <v>10585.465960000001</v>
      </c>
      <c r="K23" s="63">
        <f>13950.26*1.084</f>
        <v>15122.08184</v>
      </c>
      <c r="L23" s="63"/>
      <c r="M23" s="63"/>
      <c r="N23" s="63"/>
      <c r="O23" s="63"/>
      <c r="P23" s="63"/>
      <c r="Q23" s="63">
        <f aca="true" t="shared" si="2" ref="Q23:Q29">F23+G23+H23+I23+J23+K23+L23+M23+N23</f>
        <v>76089.5478</v>
      </c>
      <c r="R23" s="63">
        <f t="shared" si="0"/>
        <v>961202.9015454</v>
      </c>
      <c r="S23" s="64"/>
      <c r="T23" s="64"/>
      <c r="U23" s="54"/>
      <c r="V23" s="54"/>
      <c r="W23" s="54"/>
      <c r="X23" s="54"/>
      <c r="Y23" s="54"/>
      <c r="Z23" s="54"/>
      <c r="AA23" s="54"/>
    </row>
    <row r="24" spans="1:27" ht="12.75" customHeight="1" hidden="1">
      <c r="A24" s="53"/>
      <c r="B24" s="67" t="s">
        <v>37</v>
      </c>
      <c r="C24" s="68"/>
      <c r="D24" s="69"/>
      <c r="E24" s="70"/>
      <c r="F24" s="71">
        <f t="shared" si="1"/>
        <v>0</v>
      </c>
      <c r="G24" s="71">
        <f>F24*C24*10%</f>
        <v>0</v>
      </c>
      <c r="H24" s="72"/>
      <c r="I24" s="72">
        <f>D24*25%*0.45</f>
        <v>0</v>
      </c>
      <c r="J24" s="72">
        <f>(F24+G24+H24+I24)*20%</f>
        <v>0</v>
      </c>
      <c r="K24" s="72">
        <f>(F24+G24+H24+I24)*30%</f>
        <v>0</v>
      </c>
      <c r="L24" s="73"/>
      <c r="M24" s="73"/>
      <c r="N24" s="73"/>
      <c r="O24" s="73"/>
      <c r="P24" s="73"/>
      <c r="Q24" s="73">
        <f t="shared" si="2"/>
        <v>0</v>
      </c>
      <c r="R24" s="63">
        <f t="shared" si="0"/>
        <v>0</v>
      </c>
      <c r="S24" s="64"/>
      <c r="T24" s="64"/>
      <c r="U24" s="54"/>
      <c r="V24" s="54"/>
      <c r="W24" s="54"/>
      <c r="X24" s="54"/>
      <c r="Y24" s="54"/>
      <c r="Z24" s="54"/>
      <c r="AA24" s="54"/>
    </row>
    <row r="25" spans="1:27" ht="29.25" customHeight="1" hidden="1">
      <c r="A25" s="53">
        <v>3</v>
      </c>
      <c r="B25" s="67" t="s">
        <v>37</v>
      </c>
      <c r="C25" s="68"/>
      <c r="D25" s="69"/>
      <c r="E25" s="70">
        <v>11</v>
      </c>
      <c r="F25" s="71">
        <f t="shared" si="1"/>
        <v>0</v>
      </c>
      <c r="G25" s="71">
        <f>F25*C25*10%</f>
        <v>0</v>
      </c>
      <c r="H25" s="72"/>
      <c r="I25" s="72">
        <f>D25*25%*0.45</f>
        <v>0</v>
      </c>
      <c r="J25" s="72">
        <f>(F25+G25+H25+I25)*10%</f>
        <v>0</v>
      </c>
      <c r="K25" s="72">
        <f>(F25+G25+H25+I25)*30%</f>
        <v>0</v>
      </c>
      <c r="L25" s="73"/>
      <c r="M25" s="73"/>
      <c r="N25" s="73"/>
      <c r="O25" s="73"/>
      <c r="P25" s="73"/>
      <c r="Q25" s="73">
        <f t="shared" si="2"/>
        <v>0</v>
      </c>
      <c r="R25" s="63">
        <f t="shared" si="0"/>
        <v>0</v>
      </c>
      <c r="S25" s="64"/>
      <c r="T25" s="64"/>
      <c r="U25" s="10"/>
      <c r="V25" s="54"/>
      <c r="W25" s="54"/>
      <c r="X25" s="54"/>
      <c r="Y25" s="54"/>
      <c r="Z25" s="54"/>
      <c r="AA25" s="54"/>
    </row>
    <row r="26" spans="1:27" ht="33.75" customHeight="1" hidden="1">
      <c r="A26" s="53">
        <v>4</v>
      </c>
      <c r="B26" s="67" t="s">
        <v>38</v>
      </c>
      <c r="C26" s="68"/>
      <c r="D26" s="69"/>
      <c r="E26" s="70">
        <v>13</v>
      </c>
      <c r="F26" s="71">
        <f t="shared" si="1"/>
        <v>0</v>
      </c>
      <c r="G26" s="71">
        <f>F26*C26*10%</f>
        <v>0</v>
      </c>
      <c r="H26" s="72"/>
      <c r="I26" s="72">
        <f>D26*25%*0.45</f>
        <v>0</v>
      </c>
      <c r="J26" s="72"/>
      <c r="K26" s="72"/>
      <c r="L26" s="73"/>
      <c r="M26" s="73"/>
      <c r="N26" s="73"/>
      <c r="O26" s="73"/>
      <c r="P26" s="73"/>
      <c r="Q26" s="73">
        <f t="shared" si="2"/>
        <v>0</v>
      </c>
      <c r="R26" s="63">
        <f t="shared" si="0"/>
        <v>0</v>
      </c>
      <c r="S26" s="64"/>
      <c r="T26" s="64"/>
      <c r="U26" s="54"/>
      <c r="V26" s="54"/>
      <c r="W26" s="54"/>
      <c r="X26" s="54"/>
      <c r="Y26" s="54"/>
      <c r="Z26" s="54"/>
      <c r="AA26" s="54"/>
    </row>
    <row r="27" spans="1:27" ht="39" customHeight="1" hidden="1">
      <c r="A27" s="53">
        <v>5</v>
      </c>
      <c r="B27" s="74" t="s">
        <v>39</v>
      </c>
      <c r="C27" s="68"/>
      <c r="D27" s="69"/>
      <c r="E27" s="70">
        <v>14</v>
      </c>
      <c r="F27" s="71">
        <f t="shared" si="1"/>
        <v>0</v>
      </c>
      <c r="G27" s="71">
        <f>F27*10%</f>
        <v>0</v>
      </c>
      <c r="H27" s="72"/>
      <c r="I27" s="72">
        <f>F27/20*9*25%</f>
        <v>0</v>
      </c>
      <c r="J27" s="72"/>
      <c r="K27" s="72"/>
      <c r="L27" s="73"/>
      <c r="M27" s="73"/>
      <c r="N27" s="73"/>
      <c r="O27" s="73"/>
      <c r="P27" s="73"/>
      <c r="Q27" s="73">
        <f t="shared" si="2"/>
        <v>0</v>
      </c>
      <c r="R27" s="63">
        <f t="shared" si="0"/>
        <v>0</v>
      </c>
      <c r="S27" s="64"/>
      <c r="T27" s="64">
        <f>Q47-L21</f>
        <v>96930.5578</v>
      </c>
      <c r="U27" s="10"/>
      <c r="V27" s="54"/>
      <c r="W27" s="54"/>
      <c r="X27" s="54"/>
      <c r="Y27" s="54"/>
      <c r="Z27" s="54"/>
      <c r="AA27" s="54"/>
    </row>
    <row r="28" spans="1:27" ht="39" customHeight="1" hidden="1">
      <c r="A28" s="53">
        <v>6</v>
      </c>
      <c r="B28" s="74" t="s">
        <v>39</v>
      </c>
      <c r="C28" s="68"/>
      <c r="D28" s="69"/>
      <c r="E28" s="70">
        <v>11</v>
      </c>
      <c r="F28" s="71">
        <f t="shared" si="1"/>
        <v>0</v>
      </c>
      <c r="G28" s="71">
        <f>F28*10%</f>
        <v>0</v>
      </c>
      <c r="H28" s="72"/>
      <c r="I28" s="72">
        <f>F28/20*9*25%</f>
        <v>0</v>
      </c>
      <c r="J28" s="72"/>
      <c r="K28" s="72"/>
      <c r="L28" s="73"/>
      <c r="M28" s="73"/>
      <c r="N28" s="73"/>
      <c r="O28" s="73"/>
      <c r="P28" s="73"/>
      <c r="Q28" s="73">
        <f t="shared" si="2"/>
        <v>0</v>
      </c>
      <c r="R28" s="63">
        <f t="shared" si="0"/>
        <v>0</v>
      </c>
      <c r="S28" s="64"/>
      <c r="T28" s="64"/>
      <c r="U28" s="10"/>
      <c r="V28" s="54"/>
      <c r="W28" s="54"/>
      <c r="X28" s="54"/>
      <c r="Y28" s="54"/>
      <c r="Z28" s="54"/>
      <c r="AA28" s="54"/>
    </row>
    <row r="29" spans="1:27" ht="49.5" customHeight="1" hidden="1">
      <c r="A29" s="53">
        <v>7</v>
      </c>
      <c r="B29" s="74" t="s">
        <v>40</v>
      </c>
      <c r="C29" s="68"/>
      <c r="D29" s="69"/>
      <c r="E29" s="70">
        <v>11</v>
      </c>
      <c r="F29" s="71">
        <f t="shared" si="1"/>
        <v>0</v>
      </c>
      <c r="G29" s="71">
        <f>F29*10%</f>
        <v>0</v>
      </c>
      <c r="H29" s="72"/>
      <c r="I29" s="72">
        <f>F29/40*18*25%</f>
        <v>0</v>
      </c>
      <c r="J29" s="72"/>
      <c r="K29" s="72"/>
      <c r="L29" s="73"/>
      <c r="M29" s="73"/>
      <c r="N29" s="73"/>
      <c r="O29" s="73"/>
      <c r="P29" s="73"/>
      <c r="Q29" s="73">
        <f t="shared" si="2"/>
        <v>0</v>
      </c>
      <c r="R29" s="63">
        <f t="shared" si="0"/>
        <v>0</v>
      </c>
      <c r="S29" s="64"/>
      <c r="T29" s="64"/>
      <c r="U29" s="54"/>
      <c r="V29" s="54"/>
      <c r="W29" s="54"/>
      <c r="X29" s="54"/>
      <c r="Y29" s="54"/>
      <c r="Z29" s="54"/>
      <c r="AA29" s="54"/>
    </row>
    <row r="30" spans="1:27" ht="35.25" customHeight="1" hidden="1">
      <c r="A30" s="53"/>
      <c r="B30" s="75"/>
      <c r="C30" s="76"/>
      <c r="D30" s="76"/>
      <c r="E30" s="77"/>
      <c r="F30" s="78"/>
      <c r="G30" s="78"/>
      <c r="H30" s="79"/>
      <c r="I30" s="79"/>
      <c r="J30" s="73"/>
      <c r="K30" s="73"/>
      <c r="L30" s="73"/>
      <c r="M30" s="73"/>
      <c r="N30" s="80"/>
      <c r="O30" s="80"/>
      <c r="P30" s="80"/>
      <c r="Q30" s="80"/>
      <c r="R30" s="63">
        <f t="shared" si="0"/>
        <v>0</v>
      </c>
      <c r="S30" s="64"/>
      <c r="T30" s="64"/>
      <c r="U30" s="54"/>
      <c r="V30" s="54"/>
      <c r="W30" s="54"/>
      <c r="X30" s="54"/>
      <c r="Y30" s="54"/>
      <c r="Z30" s="54"/>
      <c r="AA30" s="54"/>
    </row>
    <row r="31" spans="1:27" ht="46.5" customHeight="1">
      <c r="A31" s="53">
        <v>3</v>
      </c>
      <c r="B31" s="59" t="s">
        <v>41</v>
      </c>
      <c r="C31" s="81">
        <v>0.5</v>
      </c>
      <c r="D31" s="82">
        <v>3153</v>
      </c>
      <c r="E31" s="83">
        <v>2</v>
      </c>
      <c r="F31" s="83">
        <f>D31*C31</f>
        <v>1576.5</v>
      </c>
      <c r="G31" s="83"/>
      <c r="H31" s="84"/>
      <c r="I31" s="84"/>
      <c r="J31" s="84"/>
      <c r="K31" s="84"/>
      <c r="L31" s="84"/>
      <c r="M31" s="84">
        <f>6500*0.5-F31</f>
        <v>1673.5</v>
      </c>
      <c r="N31" s="84">
        <f>F31*10%</f>
        <v>157.65</v>
      </c>
      <c r="O31" s="84"/>
      <c r="P31" s="84"/>
      <c r="Q31" s="85">
        <f>F31+G31+H31+I31+J31+K31+L31+M31+N31</f>
        <v>3407.65</v>
      </c>
      <c r="R31" s="63">
        <f>Q31*9+Q31*1.031*3+F31</f>
        <v>42785.21145</v>
      </c>
      <c r="S31" s="64"/>
      <c r="T31" s="64"/>
      <c r="U31" s="54"/>
      <c r="V31" s="54"/>
      <c r="W31" s="54"/>
      <c r="X31" s="54"/>
      <c r="Y31" s="54"/>
      <c r="Z31" s="54"/>
      <c r="AA31" s="54"/>
    </row>
    <row r="32" spans="1:27" ht="18" customHeight="1" hidden="1">
      <c r="A32" s="53"/>
      <c r="B32" s="86"/>
      <c r="C32" s="76"/>
      <c r="D32" s="76"/>
      <c r="E32" s="87"/>
      <c r="F32" s="83"/>
      <c r="G32" s="83"/>
      <c r="H32" s="79"/>
      <c r="I32" s="80"/>
      <c r="J32" s="80"/>
      <c r="K32" s="80"/>
      <c r="L32" s="80"/>
      <c r="M32" s="80"/>
      <c r="N32" s="80"/>
      <c r="O32" s="80"/>
      <c r="P32" s="80"/>
      <c r="Q32" s="80">
        <f aca="true" t="shared" si="3" ref="Q32:Q45">E32*C32+H32+I32+J32+K32+M32+N32+O32+P32</f>
        <v>0</v>
      </c>
      <c r="R32" s="80"/>
      <c r="S32" s="64"/>
      <c r="T32" s="64"/>
      <c r="U32" s="54"/>
      <c r="V32" s="54"/>
      <c r="W32" s="54"/>
      <c r="X32" s="54"/>
      <c r="Y32" s="54"/>
      <c r="Z32" s="54"/>
      <c r="AA32" s="54"/>
    </row>
    <row r="33" spans="1:27" ht="18" customHeight="1" hidden="1">
      <c r="A33" s="53"/>
      <c r="B33" s="86"/>
      <c r="C33" s="76"/>
      <c r="D33" s="76"/>
      <c r="E33" s="87"/>
      <c r="F33" s="83"/>
      <c r="G33" s="83"/>
      <c r="H33" s="80"/>
      <c r="I33" s="80"/>
      <c r="J33" s="80"/>
      <c r="K33" s="80"/>
      <c r="L33" s="80"/>
      <c r="M33" s="80"/>
      <c r="N33" s="80"/>
      <c r="O33" s="80"/>
      <c r="P33" s="80"/>
      <c r="Q33" s="80">
        <f t="shared" si="3"/>
        <v>0</v>
      </c>
      <c r="R33" s="80">
        <f>3200*C33-(Q33-N33-O33-P33)</f>
        <v>0</v>
      </c>
      <c r="S33" s="64"/>
      <c r="T33" s="64"/>
      <c r="U33" s="54"/>
      <c r="V33" s="54"/>
      <c r="W33" s="54"/>
      <c r="X33" s="54"/>
      <c r="Y33" s="54"/>
      <c r="Z33" s="54"/>
      <c r="AA33" s="54"/>
    </row>
    <row r="34" spans="1:27" ht="16.5" hidden="1">
      <c r="A34" s="53"/>
      <c r="B34" s="88"/>
      <c r="C34" s="76"/>
      <c r="D34" s="76"/>
      <c r="E34" s="87"/>
      <c r="F34" s="83"/>
      <c r="G34" s="83"/>
      <c r="H34" s="80"/>
      <c r="I34" s="80"/>
      <c r="J34" s="80"/>
      <c r="K34" s="80"/>
      <c r="L34" s="80"/>
      <c r="M34" s="80"/>
      <c r="N34" s="80"/>
      <c r="O34" s="80"/>
      <c r="P34" s="80"/>
      <c r="Q34" s="80">
        <f t="shared" si="3"/>
        <v>0</v>
      </c>
      <c r="R34" s="80">
        <f aca="true" t="shared" si="4" ref="R34:R42">4173*C34-(Q34-N34-O34-P34-M34)</f>
        <v>0</v>
      </c>
      <c r="S34" s="64"/>
      <c r="T34" s="64"/>
      <c r="U34" s="54"/>
      <c r="V34" s="54"/>
      <c r="W34" s="54"/>
      <c r="X34" s="54"/>
      <c r="Y34" s="54"/>
      <c r="Z34" s="54"/>
      <c r="AA34" s="54"/>
    </row>
    <row r="35" spans="1:27" ht="16.5" customHeight="1" hidden="1">
      <c r="A35" s="53"/>
      <c r="B35" s="86"/>
      <c r="C35" s="76"/>
      <c r="D35" s="76"/>
      <c r="E35" s="87"/>
      <c r="F35" s="83"/>
      <c r="G35" s="83"/>
      <c r="H35" s="80"/>
      <c r="I35" s="80"/>
      <c r="J35" s="80"/>
      <c r="K35" s="80"/>
      <c r="L35" s="80"/>
      <c r="M35" s="80"/>
      <c r="N35" s="80"/>
      <c r="O35" s="80"/>
      <c r="P35" s="80"/>
      <c r="Q35" s="80">
        <f t="shared" si="3"/>
        <v>0</v>
      </c>
      <c r="R35" s="80">
        <f t="shared" si="4"/>
        <v>0</v>
      </c>
      <c r="S35" s="64"/>
      <c r="T35" s="64"/>
      <c r="U35" s="54"/>
      <c r="V35" s="54"/>
      <c r="W35" s="54"/>
      <c r="X35" s="54"/>
      <c r="Y35" s="54"/>
      <c r="Z35" s="54"/>
      <c r="AA35" s="54"/>
    </row>
    <row r="36" spans="1:27" ht="16.5" customHeight="1" hidden="1">
      <c r="A36" s="53"/>
      <c r="B36" s="86"/>
      <c r="C36" s="80"/>
      <c r="D36" s="80"/>
      <c r="E36" s="87"/>
      <c r="F36" s="83"/>
      <c r="G36" s="83"/>
      <c r="H36" s="80"/>
      <c r="I36" s="80"/>
      <c r="J36" s="80"/>
      <c r="K36" s="80"/>
      <c r="L36" s="80"/>
      <c r="M36" s="80"/>
      <c r="N36" s="80"/>
      <c r="O36" s="80"/>
      <c r="P36" s="80"/>
      <c r="Q36" s="80">
        <f t="shared" si="3"/>
        <v>0</v>
      </c>
      <c r="R36" s="80">
        <f t="shared" si="4"/>
        <v>0</v>
      </c>
      <c r="S36" s="64"/>
      <c r="T36" s="64"/>
      <c r="U36" s="54"/>
      <c r="V36" s="54"/>
      <c r="W36" s="54"/>
      <c r="X36" s="54"/>
      <c r="Y36" s="54"/>
      <c r="Z36" s="54"/>
      <c r="AA36" s="54"/>
    </row>
    <row r="37" spans="1:28" ht="16.5" hidden="1">
      <c r="A37" s="53"/>
      <c r="B37" s="89"/>
      <c r="C37" s="76"/>
      <c r="D37" s="76"/>
      <c r="E37" s="87"/>
      <c r="F37" s="83"/>
      <c r="G37" s="83"/>
      <c r="H37" s="80"/>
      <c r="I37" s="80"/>
      <c r="J37" s="80"/>
      <c r="K37" s="80"/>
      <c r="L37" s="80"/>
      <c r="M37" s="80"/>
      <c r="N37" s="80"/>
      <c r="O37" s="80"/>
      <c r="P37" s="80"/>
      <c r="Q37" s="80">
        <f t="shared" si="3"/>
        <v>0</v>
      </c>
      <c r="R37" s="80">
        <f t="shared" si="4"/>
        <v>0</v>
      </c>
      <c r="S37" s="64"/>
      <c r="T37" s="64"/>
      <c r="U37" s="10"/>
      <c r="V37" s="54"/>
      <c r="W37" s="54"/>
      <c r="X37" s="54"/>
      <c r="Y37" s="54"/>
      <c r="Z37" s="54"/>
      <c r="AA37" s="54"/>
      <c r="AB37" s="90">
        <f>SUM(C31:C45)</f>
        <v>0.5</v>
      </c>
    </row>
    <row r="38" spans="1:27" ht="18" customHeight="1" hidden="1">
      <c r="A38" s="53"/>
      <c r="B38" s="86"/>
      <c r="C38" s="76"/>
      <c r="D38" s="76"/>
      <c r="E38" s="87"/>
      <c r="F38" s="83"/>
      <c r="G38" s="83"/>
      <c r="H38" s="80"/>
      <c r="I38" s="80"/>
      <c r="J38" s="80"/>
      <c r="K38" s="80"/>
      <c r="L38" s="80"/>
      <c r="M38" s="80"/>
      <c r="N38" s="80"/>
      <c r="O38" s="80"/>
      <c r="P38" s="80"/>
      <c r="Q38" s="80">
        <f t="shared" si="3"/>
        <v>0</v>
      </c>
      <c r="R38" s="80">
        <f t="shared" si="4"/>
        <v>0</v>
      </c>
      <c r="S38" s="64"/>
      <c r="T38" s="64"/>
      <c r="U38" s="54"/>
      <c r="V38" s="54"/>
      <c r="W38" s="54"/>
      <c r="X38" s="54"/>
      <c r="Y38" s="54"/>
      <c r="Z38" s="54"/>
      <c r="AA38" s="54"/>
    </row>
    <row r="39" spans="1:27" ht="17.25" customHeight="1" hidden="1">
      <c r="A39" s="53"/>
      <c r="B39" s="86"/>
      <c r="C39" s="80"/>
      <c r="D39" s="80"/>
      <c r="E39" s="87"/>
      <c r="F39" s="83"/>
      <c r="G39" s="83"/>
      <c r="H39" s="80"/>
      <c r="I39" s="80"/>
      <c r="J39" s="80"/>
      <c r="K39" s="80"/>
      <c r="L39" s="80"/>
      <c r="M39" s="80"/>
      <c r="N39" s="80"/>
      <c r="O39" s="80"/>
      <c r="P39" s="80"/>
      <c r="Q39" s="80">
        <f t="shared" si="3"/>
        <v>0</v>
      </c>
      <c r="R39" s="80">
        <f t="shared" si="4"/>
        <v>0</v>
      </c>
      <c r="S39" s="64"/>
      <c r="T39" s="64"/>
      <c r="U39" s="54"/>
      <c r="V39" s="54"/>
      <c r="W39" s="54"/>
      <c r="X39" s="54"/>
      <c r="Y39" s="54"/>
      <c r="Z39" s="54"/>
      <c r="AA39" s="54"/>
    </row>
    <row r="40" spans="1:27" ht="16.5" hidden="1">
      <c r="A40" s="53"/>
      <c r="B40" s="59"/>
      <c r="C40" s="80"/>
      <c r="D40" s="80"/>
      <c r="E40" s="87"/>
      <c r="F40" s="83"/>
      <c r="G40" s="83"/>
      <c r="H40" s="80"/>
      <c r="I40" s="80"/>
      <c r="J40" s="80"/>
      <c r="K40" s="80"/>
      <c r="L40" s="80"/>
      <c r="M40" s="80"/>
      <c r="N40" s="80"/>
      <c r="O40" s="80"/>
      <c r="P40" s="80"/>
      <c r="Q40" s="80">
        <f t="shared" si="3"/>
        <v>0</v>
      </c>
      <c r="R40" s="80">
        <f t="shared" si="4"/>
        <v>0</v>
      </c>
      <c r="S40" s="64"/>
      <c r="T40" s="64"/>
      <c r="U40" s="54"/>
      <c r="V40" s="54"/>
      <c r="W40" s="54"/>
      <c r="X40" s="54"/>
      <c r="Y40" s="54"/>
      <c r="Z40" s="54"/>
      <c r="AA40" s="54"/>
    </row>
    <row r="41" spans="1:27" ht="30.75" customHeight="1" hidden="1">
      <c r="A41" s="53"/>
      <c r="B41" s="91"/>
      <c r="C41" s="76"/>
      <c r="D41" s="76"/>
      <c r="E41" s="87"/>
      <c r="F41" s="83"/>
      <c r="G41" s="83"/>
      <c r="H41" s="80"/>
      <c r="I41" s="80"/>
      <c r="J41" s="80"/>
      <c r="K41" s="80"/>
      <c r="L41" s="80"/>
      <c r="M41" s="80"/>
      <c r="N41" s="80"/>
      <c r="O41" s="80"/>
      <c r="P41" s="80"/>
      <c r="Q41" s="80">
        <f t="shared" si="3"/>
        <v>0</v>
      </c>
      <c r="R41" s="80">
        <f t="shared" si="4"/>
        <v>0</v>
      </c>
      <c r="S41" s="64"/>
      <c r="T41" s="64"/>
      <c r="U41" s="54"/>
      <c r="V41" s="54"/>
      <c r="W41" s="54"/>
      <c r="X41" s="54"/>
      <c r="Y41" s="54"/>
      <c r="Z41" s="54"/>
      <c r="AA41" s="54"/>
    </row>
    <row r="42" spans="1:27" ht="18" customHeight="1" hidden="1">
      <c r="A42" s="53"/>
      <c r="B42" s="86"/>
      <c r="C42" s="76"/>
      <c r="D42" s="76"/>
      <c r="E42" s="87"/>
      <c r="F42" s="83"/>
      <c r="G42" s="83"/>
      <c r="H42" s="80"/>
      <c r="I42" s="80"/>
      <c r="J42" s="80"/>
      <c r="K42" s="80"/>
      <c r="L42" s="80"/>
      <c r="M42" s="80"/>
      <c r="N42" s="80"/>
      <c r="O42" s="80"/>
      <c r="P42" s="80"/>
      <c r="Q42" s="80">
        <f t="shared" si="3"/>
        <v>0</v>
      </c>
      <c r="R42" s="80">
        <f t="shared" si="4"/>
        <v>0</v>
      </c>
      <c r="S42" s="64"/>
      <c r="T42" s="64"/>
      <c r="U42" s="54"/>
      <c r="V42" s="54"/>
      <c r="W42" s="54"/>
      <c r="X42" s="54"/>
      <c r="Y42" s="54"/>
      <c r="Z42" s="54"/>
      <c r="AA42" s="54"/>
    </row>
    <row r="43" spans="1:27" ht="18" customHeight="1" hidden="1">
      <c r="A43" s="53"/>
      <c r="B43" s="86"/>
      <c r="C43" s="76"/>
      <c r="D43" s="76"/>
      <c r="E43" s="87"/>
      <c r="F43" s="83"/>
      <c r="G43" s="83"/>
      <c r="H43" s="80"/>
      <c r="I43" s="80"/>
      <c r="J43" s="80"/>
      <c r="K43" s="80"/>
      <c r="L43" s="80"/>
      <c r="M43" s="80"/>
      <c r="N43" s="80"/>
      <c r="O43" s="80"/>
      <c r="P43" s="80"/>
      <c r="Q43" s="80">
        <f t="shared" si="3"/>
        <v>0</v>
      </c>
      <c r="R43" s="80">
        <f>4173*C43-(Q43-N43-O43-M43)</f>
        <v>0</v>
      </c>
      <c r="S43" s="64"/>
      <c r="T43" s="64"/>
      <c r="U43" s="54"/>
      <c r="V43" s="54"/>
      <c r="W43" s="54"/>
      <c r="X43" s="54"/>
      <c r="Y43" s="54"/>
      <c r="Z43" s="54"/>
      <c r="AA43" s="54"/>
    </row>
    <row r="44" spans="1:27" ht="18" customHeight="1" hidden="1">
      <c r="A44" s="53"/>
      <c r="B44" s="86"/>
      <c r="C44" s="76"/>
      <c r="D44" s="76"/>
      <c r="E44" s="87"/>
      <c r="F44" s="83"/>
      <c r="G44" s="83"/>
      <c r="H44" s="80"/>
      <c r="I44" s="80"/>
      <c r="J44" s="80"/>
      <c r="K44" s="80"/>
      <c r="L44" s="80"/>
      <c r="M44" s="80"/>
      <c r="N44" s="80"/>
      <c r="O44" s="80"/>
      <c r="P44" s="80"/>
      <c r="Q44" s="80">
        <f t="shared" si="3"/>
        <v>0</v>
      </c>
      <c r="R44" s="80">
        <f>4173*C44-(Q44-N44-O44-M44)</f>
        <v>0</v>
      </c>
      <c r="S44" s="64"/>
      <c r="T44" s="64"/>
      <c r="U44" s="54"/>
      <c r="V44" s="54"/>
      <c r="W44" s="54"/>
      <c r="X44" s="54"/>
      <c r="Y44" s="54"/>
      <c r="Z44" s="54"/>
      <c r="AA44" s="54"/>
    </row>
    <row r="45" spans="1:27" ht="18" customHeight="1" hidden="1">
      <c r="A45" s="53"/>
      <c r="B45" s="86"/>
      <c r="C45" s="76"/>
      <c r="D45" s="76"/>
      <c r="E45" s="87"/>
      <c r="F45" s="83"/>
      <c r="G45" s="83"/>
      <c r="H45" s="80"/>
      <c r="I45" s="80"/>
      <c r="J45" s="80"/>
      <c r="K45" s="80"/>
      <c r="L45" s="80"/>
      <c r="M45" s="80"/>
      <c r="N45" s="80"/>
      <c r="O45" s="80"/>
      <c r="P45" s="80"/>
      <c r="Q45" s="80">
        <f t="shared" si="3"/>
        <v>0</v>
      </c>
      <c r="R45" s="80">
        <f>4173*C45-(Q45-N45-O45-P45-M45)</f>
        <v>0</v>
      </c>
      <c r="S45" s="64"/>
      <c r="T45" s="64"/>
      <c r="U45" s="54"/>
      <c r="V45" s="45"/>
      <c r="W45" s="54"/>
      <c r="X45" s="54"/>
      <c r="Y45" s="54"/>
      <c r="Z45" s="54"/>
      <c r="AA45" s="54"/>
    </row>
    <row r="46" spans="1:27" ht="16.5" hidden="1">
      <c r="A46" s="92"/>
      <c r="B46" s="59"/>
      <c r="C46" s="80"/>
      <c r="D46" s="80"/>
      <c r="E46" s="80"/>
      <c r="F46" s="93"/>
      <c r="G46" s="93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64"/>
      <c r="T46" s="94"/>
      <c r="U46" s="54"/>
      <c r="V46" s="45"/>
      <c r="W46" s="54"/>
      <c r="X46" s="54"/>
      <c r="Y46" s="54"/>
      <c r="Z46" s="54"/>
      <c r="AA46" s="54"/>
    </row>
    <row r="47" spans="1:27" ht="21" customHeight="1">
      <c r="A47" s="92"/>
      <c r="B47" s="86" t="s">
        <v>42</v>
      </c>
      <c r="C47" s="80">
        <f>SUM(C21:C45)</f>
        <v>6.5</v>
      </c>
      <c r="D47" s="80"/>
      <c r="E47" s="80"/>
      <c r="F47" s="95">
        <f aca="true" t="shared" si="5" ref="F47:R47">SUM(F21:F46)</f>
        <v>46967.5</v>
      </c>
      <c r="G47" s="95">
        <f t="shared" si="5"/>
        <v>4539.1</v>
      </c>
      <c r="H47" s="95">
        <f t="shared" si="5"/>
        <v>0</v>
      </c>
      <c r="I47" s="95">
        <f t="shared" si="5"/>
        <v>11347.75</v>
      </c>
      <c r="J47" s="95">
        <f t="shared" si="5"/>
        <v>13854.220960000002</v>
      </c>
      <c r="K47" s="95">
        <f t="shared" si="5"/>
        <v>18390.83684</v>
      </c>
      <c r="L47" s="95">
        <f t="shared" si="5"/>
        <v>2421.2999999999997</v>
      </c>
      <c r="M47" s="95">
        <f t="shared" si="5"/>
        <v>1673.5</v>
      </c>
      <c r="N47" s="95">
        <f t="shared" si="5"/>
        <v>157.65</v>
      </c>
      <c r="O47" s="95">
        <f t="shared" si="5"/>
        <v>0</v>
      </c>
      <c r="P47" s="95">
        <f t="shared" si="5"/>
        <v>0</v>
      </c>
      <c r="Q47" s="95">
        <f t="shared" si="5"/>
        <v>99351.8578</v>
      </c>
      <c r="R47" s="95">
        <f t="shared" si="5"/>
        <v>1252968.6163754</v>
      </c>
      <c r="S47" s="64"/>
      <c r="T47" s="64"/>
      <c r="U47" s="54"/>
      <c r="V47" s="54"/>
      <c r="W47" s="54"/>
      <c r="X47" s="54"/>
      <c r="Y47" s="10"/>
      <c r="Z47" s="54"/>
      <c r="AA47" s="54"/>
    </row>
    <row r="48" spans="19:21" ht="24" customHeight="1">
      <c r="S48" s="39"/>
      <c r="T48" s="39"/>
      <c r="U48" s="90"/>
    </row>
    <row r="49" spans="2:20" ht="49.5" customHeight="1">
      <c r="B49" s="154"/>
      <c r="C49" s="154"/>
      <c r="D49" s="154"/>
      <c r="E49" s="154"/>
      <c r="F49" s="154"/>
      <c r="G49" s="96"/>
      <c r="H49" s="97"/>
      <c r="I49" s="97"/>
      <c r="J49" s="97"/>
      <c r="K49" s="97"/>
      <c r="L49" s="97"/>
      <c r="M49" s="97"/>
      <c r="N49" s="97"/>
      <c r="O49" s="97"/>
      <c r="P49" s="97"/>
      <c r="Q49" s="98"/>
      <c r="R49" s="98"/>
      <c r="S49" s="99"/>
      <c r="T49" s="39"/>
    </row>
    <row r="50" spans="1:23" ht="40.5" customHeight="1">
      <c r="A50" s="100"/>
      <c r="B50" s="101"/>
      <c r="C50" s="101"/>
      <c r="D50" s="138"/>
      <c r="E50" s="138"/>
      <c r="F50" s="138"/>
      <c r="G50" s="138"/>
      <c r="H50" s="138"/>
      <c r="I50" s="102"/>
      <c r="J50" s="102"/>
      <c r="K50" s="102"/>
      <c r="L50" s="102"/>
      <c r="M50" s="102"/>
      <c r="N50" s="102"/>
      <c r="O50" s="11"/>
      <c r="P50" s="11"/>
      <c r="Q50" s="11"/>
      <c r="R50" s="11"/>
      <c r="S50" s="8"/>
      <c r="T50" s="12"/>
      <c r="U50" s="12"/>
      <c r="V50" s="12"/>
      <c r="W50" s="12"/>
    </row>
    <row r="51" spans="1:24" ht="37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5" ht="18">
      <c r="A52" s="100"/>
      <c r="B52" s="101"/>
      <c r="C52" s="101"/>
      <c r="D52" s="103" t="s">
        <v>43</v>
      </c>
      <c r="E52" s="155"/>
      <c r="F52" s="155"/>
      <c r="G52" s="155"/>
      <c r="H52" s="104"/>
      <c r="I52" s="102"/>
      <c r="J52" s="102"/>
      <c r="K52" s="102"/>
      <c r="L52" s="102"/>
      <c r="M52" s="102"/>
      <c r="N52" s="102"/>
      <c r="O52" s="105"/>
      <c r="P52" s="11" t="s">
        <v>44</v>
      </c>
      <c r="Q52" s="105"/>
      <c r="R52" s="11"/>
      <c r="S52" s="8"/>
      <c r="T52" s="8"/>
      <c r="U52" s="8"/>
      <c r="V52" s="8"/>
      <c r="W52" s="12"/>
      <c r="X52" s="12"/>
      <c r="Y52" s="12"/>
    </row>
    <row r="53" spans="1:20" ht="17.25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6"/>
      <c r="Q53" s="106"/>
      <c r="R53" s="106"/>
      <c r="S53" s="106"/>
      <c r="T53" s="106"/>
    </row>
    <row r="54" spans="1:20" ht="13.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1:20" ht="13.5">
      <c r="A55" s="39"/>
      <c r="B55" s="10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2:7" ht="15">
      <c r="B56" s="16"/>
      <c r="F56" s="1"/>
      <c r="G56" s="1"/>
    </row>
    <row r="57" spans="1:20" ht="13.5">
      <c r="A57" s="39"/>
      <c r="B57" s="39"/>
      <c r="C57" s="39"/>
      <c r="D57" s="39"/>
      <c r="E57" s="39"/>
      <c r="F57" s="46"/>
      <c r="G57" s="46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3.5">
      <c r="A58" s="40"/>
      <c r="B58" s="40"/>
      <c r="C58" s="40"/>
      <c r="D58" s="40"/>
      <c r="E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7" ht="13.5" hidden="1"/>
    <row r="68" ht="13.5" hidden="1"/>
    <row r="69" ht="13.5" hidden="1"/>
    <row r="70" ht="13.5" hidden="1"/>
    <row r="71" ht="13.5" hidden="1"/>
    <row r="72" spans="1:20" ht="13.5" hidden="1">
      <c r="A72" s="39"/>
      <c r="B72" s="39"/>
      <c r="C72" s="39"/>
      <c r="D72" s="39"/>
      <c r="E72" s="39"/>
      <c r="F72" s="46"/>
      <c r="G72" s="46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2" ht="42.75" customHeight="1" hidden="1">
      <c r="A73" s="39"/>
      <c r="B73" s="109"/>
      <c r="C73" s="110"/>
      <c r="D73" s="110"/>
      <c r="E73" s="111"/>
      <c r="F73" s="112"/>
      <c r="G73" s="112"/>
      <c r="H73" s="111"/>
      <c r="I73" s="111"/>
      <c r="J73" s="111"/>
      <c r="K73" s="111"/>
      <c r="L73" s="111"/>
      <c r="M73" s="111"/>
      <c r="N73" s="111"/>
      <c r="O73" s="111"/>
      <c r="P73" s="111"/>
      <c r="Q73" s="113"/>
      <c r="R73" s="113"/>
      <c r="S73" s="113"/>
      <c r="T73" s="39"/>
      <c r="V73" s="39" t="s">
        <v>45</v>
      </c>
    </row>
    <row r="74" spans="1:22" ht="27.75" customHeight="1" hidden="1">
      <c r="A74" s="39"/>
      <c r="B74" s="39"/>
      <c r="C74" s="39"/>
      <c r="D74" s="39"/>
      <c r="E74" s="39"/>
      <c r="F74" s="46"/>
      <c r="G74" s="46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V74" s="39" t="e">
        <f>#REF!+#REF!+#REF!+#REF!+#REF!+#REF!+#REF!+V46+#REF!</f>
        <v>#REF!</v>
      </c>
    </row>
    <row r="75" spans="1:24" ht="37.5" customHeight="1" hidden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0" ht="14.25" customHeight="1" hidden="1">
      <c r="A76" s="39"/>
      <c r="B76" s="39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106"/>
      <c r="N76" s="106"/>
      <c r="O76" s="106"/>
      <c r="P76" s="106"/>
      <c r="Q76" s="39"/>
      <c r="R76" s="39"/>
      <c r="S76" s="39"/>
      <c r="T76" s="39"/>
    </row>
    <row r="77" spans="1:20" ht="17.25" hidden="1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6"/>
      <c r="Q77" s="106"/>
      <c r="R77" s="106"/>
      <c r="S77" s="106"/>
      <c r="T77" s="106"/>
    </row>
    <row r="78" spans="1:20" ht="13.5" hidden="1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</row>
    <row r="79" spans="1:20" ht="13.5" hidden="1">
      <c r="A79" s="39"/>
      <c r="B79" s="108" t="s">
        <v>46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2:7" ht="13.5" hidden="1">
      <c r="B80" s="114">
        <v>43152</v>
      </c>
      <c r="F80" s="1"/>
      <c r="G80" s="1"/>
    </row>
    <row r="81" spans="1:20" ht="13.5" hidden="1">
      <c r="A81" s="39"/>
      <c r="B81" s="115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3.5" hidden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3.5" hidden="1">
      <c r="A83" s="39"/>
      <c r="B83" s="39"/>
      <c r="C83" s="39"/>
      <c r="D83" s="39"/>
      <c r="E83" s="39"/>
      <c r="F83" s="46"/>
      <c r="G83" s="46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ht="13.5" hidden="1"/>
    <row r="85" ht="13.5" hidden="1"/>
    <row r="86" ht="13.5" hidden="1"/>
    <row r="87" ht="13.5" hidden="1"/>
    <row r="88" ht="13.5" hidden="1"/>
    <row r="89" ht="13.5" hidden="1">
      <c r="F89" s="2" t="s">
        <v>47</v>
      </c>
    </row>
    <row r="90" spans="22:23" ht="13.5" hidden="1">
      <c r="V90" s="50" t="s">
        <v>48</v>
      </c>
      <c r="W90" s="116"/>
    </row>
    <row r="91" spans="22:23" ht="13.5" hidden="1">
      <c r="V91" s="117"/>
      <c r="W91" s="118"/>
    </row>
    <row r="92" ht="13.5" hidden="1"/>
    <row r="93" spans="6:23" ht="15" hidden="1">
      <c r="F93" s="157" t="s">
        <v>49</v>
      </c>
      <c r="G93" s="157"/>
      <c r="H93" s="157"/>
      <c r="L93" s="92"/>
      <c r="M93" s="158" t="s">
        <v>50</v>
      </c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6:23" ht="15" hidden="1">
      <c r="F94" s="92">
        <v>1</v>
      </c>
      <c r="G94" s="92"/>
      <c r="H94" s="92" t="e">
        <f>#REF!+#REF!+#REF!+#REF!+#REF!+#REF!+#REF!+#REF!+C57+C62+#REF!+#REF!+#REF!+#REF!+#REF!+#REF!+#REF!+#REF!+#REF!+#REF!+#REF!+#REF!</f>
        <v>#REF!</v>
      </c>
      <c r="L94" s="92" t="s">
        <v>51</v>
      </c>
      <c r="M94" s="119" t="s">
        <v>52</v>
      </c>
      <c r="N94" s="119"/>
      <c r="O94" s="119"/>
      <c r="P94" s="119" t="s">
        <v>53</v>
      </c>
      <c r="Q94" s="119"/>
      <c r="R94" s="119"/>
      <c r="S94" s="119"/>
      <c r="T94" s="119"/>
      <c r="U94" s="119" t="s">
        <v>54</v>
      </c>
      <c r="V94" s="119" t="s">
        <v>55</v>
      </c>
      <c r="W94" s="119" t="s">
        <v>56</v>
      </c>
    </row>
    <row r="95" spans="2:23" ht="15" hidden="1">
      <c r="B95" s="1" t="s">
        <v>57</v>
      </c>
      <c r="F95" s="92">
        <v>2</v>
      </c>
      <c r="G95" s="92"/>
      <c r="H95" s="92" t="e">
        <f>#REF!+#REF!+#REF!+#REF!+#REF!+#REF!+#REF!+#REF!+#REF!+#REF!+#REF!+#REF!+#REF!+#REF!+#REF!+C58+C59+C61+C63+#REF!+#REF!+#REF!+#REF!+#REF!+#REF!+#REF!+#REF!+#REF!+#REF!+#REF!+#REF!+#REF!+#REF!+#REF!+#REF!+#REF!+#REF!+#REF!+#REF!+#REF!+#REF!+#REF!+#REF!</f>
        <v>#REF!</v>
      </c>
      <c r="L95" s="120">
        <v>2</v>
      </c>
      <c r="M95" s="121">
        <f>'[1]ШКОЛИ та ін.'!$J$6</f>
        <v>29.72222222222222</v>
      </c>
      <c r="N95" s="122"/>
      <c r="O95" s="122"/>
      <c r="P95" s="121" t="e">
        <f>#REF!+#REF!+#REF!+#REF!+#REF!</f>
        <v>#REF!</v>
      </c>
      <c r="Q95" s="121"/>
      <c r="R95" s="121"/>
      <c r="S95" s="121"/>
      <c r="T95" s="121"/>
      <c r="U95" s="121" t="e">
        <f>#REF!+#REF!+#REF!+#REF!+#REF!</f>
        <v>#REF!</v>
      </c>
      <c r="V95" s="121" t="e">
        <f>#REF!+#REF!+#REF!+#REF!+#REF!+#REF!+#REF!+#REF!</f>
        <v>#REF!</v>
      </c>
      <c r="W95" s="121" t="e">
        <f aca="true" t="shared" si="6" ref="W95:W104">SUM(M95:V95)</f>
        <v>#REF!</v>
      </c>
    </row>
    <row r="96" spans="2:23" ht="15" hidden="1">
      <c r="B96" s="90" t="e">
        <f>#REF!+#REF!+#REF!+#REF!+#REF!+P66+#REF!+#REF!+#REF!</f>
        <v>#REF!</v>
      </c>
      <c r="F96" s="92">
        <v>3</v>
      </c>
      <c r="G96" s="92"/>
      <c r="H96" s="92"/>
      <c r="L96" s="120" t="s">
        <v>58</v>
      </c>
      <c r="M96" s="121">
        <f>'[1]ШКОЛИ та ін.'!$J$7</f>
        <v>26.97222222222222</v>
      </c>
      <c r="N96" s="122"/>
      <c r="O96" s="122"/>
      <c r="P96" s="121">
        <f>C21+C23+C26+C27+C29</f>
        <v>6</v>
      </c>
      <c r="Q96" s="121"/>
      <c r="R96" s="121"/>
      <c r="S96" s="121"/>
      <c r="T96" s="121"/>
      <c r="U96" s="121">
        <f>C31+C32+C33+C34+C35</f>
        <v>0.5</v>
      </c>
      <c r="V96" s="121">
        <f>C36+C37+C38+C39+C40+C41+C43+C44+C45</f>
        <v>0</v>
      </c>
      <c r="W96" s="121">
        <f t="shared" si="6"/>
        <v>33.47222222222222</v>
      </c>
    </row>
    <row r="97" spans="2:23" ht="15" hidden="1">
      <c r="B97" s="1" t="s">
        <v>59</v>
      </c>
      <c r="F97" s="92">
        <v>4</v>
      </c>
      <c r="G97" s="92"/>
      <c r="H97" s="92" t="e">
        <f>#REF!+#REF!+#REF!+#REF!+#REF!+#REF!+C60+#REF!+#REF!+#REF!+#REF!+#REF!+#REF!+#REF!+#REF!</f>
        <v>#REF!</v>
      </c>
      <c r="L97" s="120">
        <v>4</v>
      </c>
      <c r="M97" s="121">
        <f>'[1]ШКОЛИ та ін.'!$J$8</f>
        <v>17.11111111111111</v>
      </c>
      <c r="N97" s="122"/>
      <c r="O97" s="122"/>
      <c r="P97" s="121" t="e">
        <f>#REF!+#REF!+#REF!+#REF!+#REF!+#REF!</f>
        <v>#REF!</v>
      </c>
      <c r="Q97" s="121"/>
      <c r="R97" s="121"/>
      <c r="S97" s="121"/>
      <c r="T97" s="121"/>
      <c r="U97" s="121" t="e">
        <f>#REF!+#REF!+#REF!+#REF!+#REF!</f>
        <v>#REF!</v>
      </c>
      <c r="V97" s="121" t="e">
        <f>#REF!+#REF!+#REF!+#REF!+#REF!+#REF!+#REF!</f>
        <v>#REF!</v>
      </c>
      <c r="W97" s="121" t="e">
        <f t="shared" si="6"/>
        <v>#REF!</v>
      </c>
    </row>
    <row r="98" spans="2:23" ht="13.5" hidden="1">
      <c r="B98" s="90" t="e">
        <f>#REF!+#REF!+#REF!+N66+#REF!+#REF!+#REF!+#REF!+#REF!</f>
        <v>#REF!</v>
      </c>
      <c r="F98" s="92">
        <v>5</v>
      </c>
      <c r="G98" s="92"/>
      <c r="H98" s="92" t="e">
        <f>#REF!+#REF!+C56+#REF!+#REF!+#REF!+#REF!</f>
        <v>#REF!</v>
      </c>
      <c r="L98" s="123" t="s">
        <v>60</v>
      </c>
      <c r="M98" s="121" t="e">
        <f>'[1]ШКОЛИ та ін.'!$J$9+#REF!+#REF!+#REF!+#REF!+#REF!</f>
        <v>#REF!</v>
      </c>
      <c r="N98" s="122"/>
      <c r="O98" s="122"/>
      <c r="P98" s="121" t="e">
        <f>#REF!+#REF!+#REF!+#REF!+#REF!+#REF!+#REF!</f>
        <v>#REF!</v>
      </c>
      <c r="Q98" s="121"/>
      <c r="R98" s="121"/>
      <c r="S98" s="121"/>
      <c r="T98" s="121"/>
      <c r="U98" s="121" t="e">
        <f>#REF!+#REF!+#REF!+#REF!+#REF!+#REF!</f>
        <v>#REF!</v>
      </c>
      <c r="V98" s="121" t="e">
        <f>#REF!+#REF!+#REF!+#REF!+#REF!+#REF!+#REF!+#REF!+#REF!+#REF!</f>
        <v>#REF!</v>
      </c>
      <c r="W98" s="121" t="e">
        <f t="shared" si="6"/>
        <v>#REF!</v>
      </c>
    </row>
    <row r="99" spans="2:23" ht="15" hidden="1">
      <c r="B99" s="1" t="s">
        <v>61</v>
      </c>
      <c r="F99" s="92">
        <v>6</v>
      </c>
      <c r="G99" s="92"/>
      <c r="H99" s="92" t="e">
        <f>#REF!+#REF!+#REF!+#REF!+#REF!+#REF!+#REF!+#REF!+#REF!+#REF!+#REF!+#REF!+#REF!+#REF!+C42+C51+C52+#REF!+#REF!+#REF!+#REF!+#REF!+#REF!+#REF!+#REF!+#REF!+#REF!+#REF!+#REF!+#REF!+#REF!+#REF!+#REF!+#REF!+#REF!+#REF!</f>
        <v>#REF!</v>
      </c>
      <c r="L99" s="120">
        <v>6</v>
      </c>
      <c r="M99" s="121">
        <f>'[1]ШКОЛИ та ін.'!$J$10</f>
        <v>42.75</v>
      </c>
      <c r="N99" s="122"/>
      <c r="O99" s="122"/>
      <c r="P99" s="121" t="e">
        <f>#REF!+#REF!+#REF!+#REF!+#REF!+#REF!+#REF!</f>
        <v>#REF!</v>
      </c>
      <c r="Q99" s="121"/>
      <c r="R99" s="121"/>
      <c r="S99" s="121"/>
      <c r="T99" s="121"/>
      <c r="U99" s="121" t="e">
        <f>#REF!+#REF!+#REF!+#REF!+#REF!</f>
        <v>#REF!</v>
      </c>
      <c r="V99" s="121" t="e">
        <f>#REF!+#REF!+#REF!+#REF!+#REF!+#REF!+#REF!+#REF!</f>
        <v>#REF!</v>
      </c>
      <c r="W99" s="121" t="e">
        <f t="shared" si="6"/>
        <v>#REF!</v>
      </c>
    </row>
    <row r="100" spans="2:23" ht="15" hidden="1">
      <c r="B100" s="90" t="e">
        <f>#REF!+#REF!+#REF!+#REF!+M66+#REF!+#REF!+#REF!+#REF!+#REF!+#REF!+#REF!+#REF!+#REF!+#REF!</f>
        <v>#REF!</v>
      </c>
      <c r="F100" s="51">
        <v>7</v>
      </c>
      <c r="G100" s="51"/>
      <c r="H100" s="51" t="e">
        <f>#REF!+#REF!+#REF!+C38+C39+C43+#REF!+#REF!+#REF!+#REF!+#REF!+#REF!+#REF!+#REF!+#REF!+#REF!+#REF!</f>
        <v>#REF!</v>
      </c>
      <c r="L100" s="120">
        <v>8</v>
      </c>
      <c r="M100" s="121">
        <f>'[1]ШКОЛИ та ін.'!$J$11</f>
        <v>40.361111111111114</v>
      </c>
      <c r="N100" s="122"/>
      <c r="O100" s="122"/>
      <c r="P100" s="121" t="e">
        <f>#REF!+#REF!+#REF!+#REF!+#REF!+#REF!</f>
        <v>#REF!</v>
      </c>
      <c r="Q100" s="121"/>
      <c r="R100" s="121"/>
      <c r="S100" s="121"/>
      <c r="T100" s="121"/>
      <c r="U100" s="121" t="e">
        <f>#REF!+#REF!+#REF!+#REF!+#REF!</f>
        <v>#REF!</v>
      </c>
      <c r="V100" s="121" t="e">
        <f>#REF!+#REF!+#REF!+#REF!+#REF!+#REF!+#REF!+#REF!+#REF!</f>
        <v>#REF!</v>
      </c>
      <c r="W100" s="121" t="e">
        <f t="shared" si="6"/>
        <v>#REF!</v>
      </c>
    </row>
    <row r="101" spans="2:23" ht="15" hidden="1">
      <c r="B101" s="1" t="s">
        <v>56</v>
      </c>
      <c r="F101" s="124">
        <v>8</v>
      </c>
      <c r="G101" s="125"/>
      <c r="H101" s="126" t="e">
        <f>#REF!+#REF!+#REF!+#REF!+#REF!+C53+#REF!+#REF!+#REF!+#REF!+#REF!+#REF!+#REF!</f>
        <v>#REF!</v>
      </c>
      <c r="I101" s="159">
        <v>176.5</v>
      </c>
      <c r="L101" s="120">
        <v>9</v>
      </c>
      <c r="M101" s="121">
        <f>'[1]ШКОЛИ та ін.'!$J$12</f>
        <v>42.416666666666664</v>
      </c>
      <c r="N101" s="122"/>
      <c r="O101" s="122"/>
      <c r="P101" s="121" t="e">
        <f>#REF!+#REF!+#REF!+#REF!+#REF!+#REF!+#REF!+#REF!+#REF!+#REF!+#REF!</f>
        <v>#REF!</v>
      </c>
      <c r="Q101" s="121"/>
      <c r="R101" s="121"/>
      <c r="S101" s="121"/>
      <c r="T101" s="121"/>
      <c r="U101" s="121" t="e">
        <f>#REF!+#REF!+#REF!+#REF!+#REF!</f>
        <v>#REF!</v>
      </c>
      <c r="V101" s="121" t="e">
        <f>#REF!+#REF!+#REF!+#REF!+#REF!+#REF!+#REF!+#REF!+#REF!+#REF!</f>
        <v>#REF!</v>
      </c>
      <c r="W101" s="121" t="e">
        <f t="shared" si="6"/>
        <v>#REF!</v>
      </c>
    </row>
    <row r="102" spans="2:23" ht="15" hidden="1">
      <c r="B102" s="90" t="e">
        <f>B96+B98+B100</f>
        <v>#REF!</v>
      </c>
      <c r="F102" s="127">
        <v>9</v>
      </c>
      <c r="G102" s="128"/>
      <c r="H102" s="92" t="e">
        <f>#REF!+#REF!+#REF!+#REF!+#REF!+#REF!+#REF!+#REF!+C37+C40+#REF!+#REF!+#REF!+#REF!+#REF!</f>
        <v>#REF!</v>
      </c>
      <c r="I102" s="159"/>
      <c r="L102" s="120" t="s">
        <v>62</v>
      </c>
      <c r="M102" s="121">
        <f>'[1]ШКОЛИ та ін.'!$J$13</f>
        <v>14.277777777777779</v>
      </c>
      <c r="N102" s="122"/>
      <c r="O102" s="122"/>
      <c r="P102" s="121" t="e">
        <f>#REF!+#REF!+#REF!+#REF!+#REF!</f>
        <v>#REF!</v>
      </c>
      <c r="Q102" s="121"/>
      <c r="R102" s="121"/>
      <c r="S102" s="121"/>
      <c r="T102" s="121"/>
      <c r="U102" s="121" t="e">
        <f>#REF!+#REF!+#REF!+#REF!+#REF!</f>
        <v>#REF!</v>
      </c>
      <c r="V102" s="121" t="e">
        <f>#REF!+#REF!+#REF!+#REF!+#REF!+#REF!+#REF!+#REF!+#REF!</f>
        <v>#REF!</v>
      </c>
      <c r="W102" s="121" t="e">
        <f t="shared" si="6"/>
        <v>#REF!</v>
      </c>
    </row>
    <row r="103" spans="6:23" ht="15" hidden="1">
      <c r="F103" s="127">
        <v>10</v>
      </c>
      <c r="G103" s="128"/>
      <c r="H103" s="92" t="e">
        <f>#REF!+#REF!+#REF!+#REF!+#REF!+C49+C50+#REF!+#REF!+#REF!+#REF!+#REF!+#REF!+#REF!+#REF!+#REF!+#REF!</f>
        <v>#REF!</v>
      </c>
      <c r="I103" s="159"/>
      <c r="L103" s="120" t="s">
        <v>63</v>
      </c>
      <c r="M103" s="121">
        <f>'[1]ШКОЛИ та ін.'!$J$14</f>
        <v>14.694444444444445</v>
      </c>
      <c r="N103" s="122"/>
      <c r="O103" s="122"/>
      <c r="P103" s="121" t="e">
        <f>#REF!+#REF!+#REF!+#REF!+#REF!</f>
        <v>#REF!</v>
      </c>
      <c r="Q103" s="121"/>
      <c r="R103" s="121"/>
      <c r="S103" s="121"/>
      <c r="T103" s="121"/>
      <c r="U103" s="121" t="e">
        <f>#REF!+#REF!+#REF!+#REF!+#REF!</f>
        <v>#REF!</v>
      </c>
      <c r="V103" s="121" t="e">
        <f>#REF!+#REF!+#REF!+#REF!+#REF!+#REF!+#REF!+#REF!+#REF!</f>
        <v>#REF!</v>
      </c>
      <c r="W103" s="121" t="e">
        <f t="shared" si="6"/>
        <v>#REF!</v>
      </c>
    </row>
    <row r="104" spans="6:23" ht="15" hidden="1">
      <c r="F104" s="129">
        <v>11</v>
      </c>
      <c r="G104" s="130"/>
      <c r="H104" s="131" t="e">
        <f>#REF!+#REF!+#REF!+#REF!+#REF!+#REF!+#REF!</f>
        <v>#REF!</v>
      </c>
      <c r="I104" s="159"/>
      <c r="L104" s="120" t="s">
        <v>56</v>
      </c>
      <c r="M104" s="120" t="e">
        <f>SUM(M95:M103)</f>
        <v>#REF!</v>
      </c>
      <c r="N104" s="120"/>
      <c r="O104" s="120">
        <f>SUM(O95:O103)</f>
        <v>0</v>
      </c>
      <c r="P104" s="132" t="e">
        <f>SUM(P95:P103)</f>
        <v>#REF!</v>
      </c>
      <c r="Q104" s="132">
        <f>SUM(Q95:Q103)</f>
        <v>0</v>
      </c>
      <c r="R104" s="132"/>
      <c r="S104" s="132"/>
      <c r="T104" s="132">
        <f>SUM(T95:T103)</f>
        <v>0</v>
      </c>
      <c r="U104" s="132" t="e">
        <f>SUM(U95:U103)</f>
        <v>#REF!</v>
      </c>
      <c r="V104" s="132" t="e">
        <f>SUM(V95:V103)</f>
        <v>#REF!</v>
      </c>
      <c r="W104" s="132" t="e">
        <f t="shared" si="6"/>
        <v>#REF!</v>
      </c>
    </row>
    <row r="105" spans="6:8" ht="13.5" hidden="1">
      <c r="F105" s="58">
        <v>12</v>
      </c>
      <c r="G105" s="58"/>
      <c r="H105" s="58" t="e">
        <f>#REF!+#REF!+#REF!+#REF!+#REF!+#REF!</f>
        <v>#REF!</v>
      </c>
    </row>
    <row r="106" spans="6:12" ht="13.5" hidden="1">
      <c r="F106" s="92">
        <v>13</v>
      </c>
      <c r="G106" s="92"/>
      <c r="H106" s="92">
        <f>C44</f>
        <v>0</v>
      </c>
      <c r="L106" s="18" t="s">
        <v>64</v>
      </c>
    </row>
    <row r="107" spans="6:12" ht="13.5" hidden="1">
      <c r="F107" s="92">
        <v>14</v>
      </c>
      <c r="G107" s="92"/>
      <c r="H107" s="92" t="e">
        <f>#REF!+#REF!+#REF!+C36+#REF!+#REF!+#REF!+#REF!+#REF!+#REF!</f>
        <v>#REF!</v>
      </c>
      <c r="L107" s="133" t="e">
        <f>#REF!+#REF!+#REF!+#REF!+#REF!+C66+#REF!+#REF!+#REF!</f>
        <v>#REF!</v>
      </c>
    </row>
    <row r="108" spans="6:8" ht="13.5" hidden="1">
      <c r="F108" s="92">
        <v>15</v>
      </c>
      <c r="G108" s="92"/>
      <c r="H108" s="92"/>
    </row>
    <row r="109" spans="6:8" ht="13.5" hidden="1">
      <c r="F109" s="92">
        <v>16</v>
      </c>
      <c r="G109" s="92"/>
      <c r="H109" s="92"/>
    </row>
    <row r="110" spans="6:23" ht="18" hidden="1">
      <c r="F110" s="92" t="s">
        <v>56</v>
      </c>
      <c r="G110" s="92"/>
      <c r="H110" s="92" t="e">
        <f>SUM(H94:H109)</f>
        <v>#REF!</v>
      </c>
      <c r="M110" s="160" t="s">
        <v>65</v>
      </c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</row>
    <row r="111" spans="3:7" ht="13.5" hidden="1">
      <c r="C111" s="90"/>
      <c r="D111" s="90"/>
      <c r="F111" s="1"/>
      <c r="G111" s="1"/>
    </row>
    <row r="112" spans="6:23" ht="13.5" hidden="1">
      <c r="F112" s="1"/>
      <c r="G112" s="1"/>
      <c r="L112" s="92"/>
      <c r="M112" s="92" t="s">
        <v>52</v>
      </c>
      <c r="N112" s="92"/>
      <c r="O112" s="92"/>
      <c r="P112" s="92" t="s">
        <v>53</v>
      </c>
      <c r="Q112" s="92"/>
      <c r="R112" s="92"/>
      <c r="S112" s="92"/>
      <c r="T112" s="92"/>
      <c r="U112" s="92" t="s">
        <v>54</v>
      </c>
      <c r="V112" s="92" t="s">
        <v>55</v>
      </c>
      <c r="W112" s="92" t="s">
        <v>56</v>
      </c>
    </row>
    <row r="113" spans="6:23" ht="13.5" hidden="1">
      <c r="F113" s="1"/>
      <c r="G113" s="1"/>
      <c r="L113" s="92">
        <v>3</v>
      </c>
      <c r="M113" s="134" t="e">
        <f>#REF!+#REF!+#REF!+#REF!</f>
        <v>#REF!</v>
      </c>
      <c r="N113" s="92"/>
      <c r="O113" s="92"/>
      <c r="P113" s="134" t="e">
        <f>#REF!+#REF!+#REF!+#REF!</f>
        <v>#REF!</v>
      </c>
      <c r="Q113" s="92"/>
      <c r="R113" s="92"/>
      <c r="S113" s="92"/>
      <c r="T113" s="92"/>
      <c r="U113" s="134" t="e">
        <f>#REF!+#REF!</f>
        <v>#REF!</v>
      </c>
      <c r="V113" s="134" t="e">
        <f>#REF!+#REF!+#REF!+#REF!+#REF!+#REF!+#REF!+#REF!+#REF!+#REF!+#REF!</f>
        <v>#REF!</v>
      </c>
      <c r="W113" s="121" t="e">
        <f aca="true" t="shared" si="7" ref="W113:W121">M113+N113+P113+U113+V113</f>
        <v>#REF!</v>
      </c>
    </row>
    <row r="114" spans="6:23" ht="13.5" hidden="1">
      <c r="F114" s="1"/>
      <c r="G114" s="1"/>
      <c r="L114" s="92">
        <v>5</v>
      </c>
      <c r="M114" s="134" t="e">
        <f>#REF!+#REF!+#REF!+#REF!</f>
        <v>#REF!</v>
      </c>
      <c r="N114" s="92"/>
      <c r="O114" s="92"/>
      <c r="P114" s="134" t="e">
        <f>#REF!+#REF!+#REF!+#REF!+#REF!</f>
        <v>#REF!</v>
      </c>
      <c r="Q114" s="92"/>
      <c r="R114" s="92"/>
      <c r="S114" s="92"/>
      <c r="T114" s="92"/>
      <c r="U114" s="134" t="e">
        <f>#REF!+#REF!+#REF!+#REF!</f>
        <v>#REF!</v>
      </c>
      <c r="V114" s="134" t="e">
        <f>#REF!+#REF!+#REF!+#REF!+#REF!+#REF!+#REF!+#REF!+#REF!</f>
        <v>#REF!</v>
      </c>
      <c r="W114" s="121" t="e">
        <f t="shared" si="7"/>
        <v>#REF!</v>
      </c>
    </row>
    <row r="115" spans="2:23" ht="13.5" hidden="1">
      <c r="B115" s="1" t="s">
        <v>22</v>
      </c>
      <c r="F115" s="1"/>
      <c r="G115" s="1"/>
      <c r="L115" s="92">
        <v>11</v>
      </c>
      <c r="M115" s="134" t="e">
        <f>#REF!+#REF!+#REF!+#REF!+#REF!</f>
        <v>#REF!</v>
      </c>
      <c r="N115" s="92"/>
      <c r="O115" s="92"/>
      <c r="P115" s="134" t="e">
        <f>#REF!+#REF!+#REF!+#REF!</f>
        <v>#REF!</v>
      </c>
      <c r="Q115" s="92"/>
      <c r="R115" s="92"/>
      <c r="S115" s="92"/>
      <c r="T115" s="92"/>
      <c r="U115" s="134" t="e">
        <f>#REF!+#REF!+#REF!</f>
        <v>#REF!</v>
      </c>
      <c r="V115" s="134" t="e">
        <f>#REF!+#REF!+#REF!+#REF!+#REF!+#REF!+#REF!+#REF!+#REF!</f>
        <v>#REF!</v>
      </c>
      <c r="W115" s="121" t="e">
        <f t="shared" si="7"/>
        <v>#REF!</v>
      </c>
    </row>
    <row r="116" spans="2:23" ht="13.5" hidden="1">
      <c r="B116" s="90" t="e">
        <f>#REF!+#REF!+#REF!+#REF!+#REF!+#REF!+#REF!+#REF!+#REF!+#REF!+#REF!+#REF!+#REF!+H66+J66+L66+M66+N66+#REF!+#REF!+#REF!+#REF!+#REF!+#REF!+#REF!+#REF!+#REF!+#REF!+#REF!+#REF!+#REF!+#REF!+#REF!+#REF!+#REF!+#REF!+#REF!+#REF!+#REF!+#REF!+#REF!+#REF!+#REF!</f>
        <v>#REF!</v>
      </c>
      <c r="F116" s="1"/>
      <c r="G116" s="1"/>
      <c r="L116" s="92">
        <v>13</v>
      </c>
      <c r="M116" s="134" t="e">
        <f>#REF!+#REF!+#REF!+#REF!+#REF!</f>
        <v>#REF!</v>
      </c>
      <c r="N116" s="92"/>
      <c r="O116" s="92"/>
      <c r="P116" s="134" t="e">
        <f>#REF!+#REF!+#REF!+#REF!+#REF!+#REF!+#REF!+#REF!+#REF!+#REF!+#REF!</f>
        <v>#REF!</v>
      </c>
      <c r="Q116" s="92"/>
      <c r="R116" s="92"/>
      <c r="S116" s="92"/>
      <c r="T116" s="92"/>
      <c r="U116" s="134" t="e">
        <f>#REF!+#REF!+#REF!+#REF!</f>
        <v>#REF!</v>
      </c>
      <c r="V116" s="134" t="e">
        <f>#REF!+#REF!+#REF!+#REF!+#REF!+#REF!+#REF!+#REF!+#REF!+#REF!+#REF!+#REF!</f>
        <v>#REF!</v>
      </c>
      <c r="W116" s="121" t="e">
        <f t="shared" si="7"/>
        <v>#REF!</v>
      </c>
    </row>
    <row r="117" spans="6:23" ht="13.5" hidden="1">
      <c r="F117" s="1"/>
      <c r="G117" s="1"/>
      <c r="L117" s="92">
        <v>16</v>
      </c>
      <c r="M117" s="134" t="e">
        <f>#REF!+#REF!+#REF!</f>
        <v>#REF!</v>
      </c>
      <c r="N117" s="92"/>
      <c r="O117" s="92"/>
      <c r="P117" s="134" t="e">
        <f>#REF!+#REF!+#REF!+#REF!</f>
        <v>#REF!</v>
      </c>
      <c r="Q117" s="92"/>
      <c r="R117" s="92"/>
      <c r="S117" s="92"/>
      <c r="T117" s="92"/>
      <c r="U117" s="134" t="e">
        <f>#REF!+#REF!</f>
        <v>#REF!</v>
      </c>
      <c r="V117" s="134" t="e">
        <f>#REF!+#REF!+#REF!+#REF!+#REF!+#REF!+#REF!+#REF!+#REF!+#REF!+#REF!</f>
        <v>#REF!</v>
      </c>
      <c r="W117" s="121" t="e">
        <f t="shared" si="7"/>
        <v>#REF!</v>
      </c>
    </row>
    <row r="118" spans="6:23" ht="13.5" hidden="1">
      <c r="F118" s="1"/>
      <c r="G118" s="1"/>
      <c r="L118" s="92">
        <v>18</v>
      </c>
      <c r="M118" s="134" t="e">
        <f>#REF!+#REF!+#REF!+#REF!</f>
        <v>#REF!</v>
      </c>
      <c r="N118" s="92"/>
      <c r="O118" s="92"/>
      <c r="P118" s="134" t="e">
        <f>#REF!+#REF!+#REF!+#REF!+#REF!</f>
        <v>#REF!</v>
      </c>
      <c r="Q118" s="92"/>
      <c r="R118" s="92"/>
      <c r="S118" s="92"/>
      <c r="T118" s="92"/>
      <c r="U118" s="134" t="e">
        <f>#REF!+#REF!</f>
        <v>#REF!</v>
      </c>
      <c r="V118" s="134" t="e">
        <f>#REF!+#REF!+#REF!+#REF!+#REF!+#REF!+#REF!+#REF!+#REF!</f>
        <v>#REF!</v>
      </c>
      <c r="W118" s="121" t="e">
        <f t="shared" si="7"/>
        <v>#REF!</v>
      </c>
    </row>
    <row r="119" spans="6:23" ht="13.5" hidden="1">
      <c r="F119" s="1"/>
      <c r="G119" s="1"/>
      <c r="L119" s="92">
        <v>21</v>
      </c>
      <c r="M119" s="134" t="e">
        <f>#REF!+#REF!+#REF!+#REF!</f>
        <v>#REF!</v>
      </c>
      <c r="N119" s="92"/>
      <c r="O119" s="92"/>
      <c r="P119" s="134" t="e">
        <f>#REF!+#REF!+#REF!+#REF!+#REF!+#REF!</f>
        <v>#REF!</v>
      </c>
      <c r="Q119" s="92"/>
      <c r="R119" s="92"/>
      <c r="S119" s="92"/>
      <c r="T119" s="92"/>
      <c r="U119" s="134" t="e">
        <f>#REF!+#REF!</f>
        <v>#REF!</v>
      </c>
      <c r="V119" s="134" t="e">
        <f>#REF!+#REF!+#REF!+#REF!+#REF!+#REF!+#REF!+#REF!+#REF!+#REF!+#REF!+#REF!</f>
        <v>#REF!</v>
      </c>
      <c r="W119" s="121" t="e">
        <f t="shared" si="7"/>
        <v>#REF!</v>
      </c>
    </row>
    <row r="120" spans="6:23" ht="13.5" hidden="1">
      <c r="F120" s="1"/>
      <c r="G120" s="1"/>
      <c r="L120" s="92">
        <v>22</v>
      </c>
      <c r="M120" s="134">
        <f>V38+V39+V45+V46+V48+V49</f>
        <v>0</v>
      </c>
      <c r="N120" s="92"/>
      <c r="O120" s="92"/>
      <c r="P120" s="134">
        <f>V36+V37+V40+V43+V50</f>
        <v>0</v>
      </c>
      <c r="Q120" s="92"/>
      <c r="R120" s="92"/>
      <c r="S120" s="92"/>
      <c r="T120" s="92"/>
      <c r="U120" s="134">
        <f>V41+V42+V44+V53</f>
        <v>0</v>
      </c>
      <c r="V120" s="134">
        <f>V51+V52+V55+V56+V57+V58+V59+V60+V61+V62+V63+V64+V65</f>
        <v>0</v>
      </c>
      <c r="W120" s="121">
        <f t="shared" si="7"/>
        <v>0</v>
      </c>
    </row>
    <row r="121" spans="6:23" ht="13.5" hidden="1">
      <c r="F121" s="1"/>
      <c r="G121" s="1"/>
      <c r="L121" s="92">
        <v>23</v>
      </c>
      <c r="M121" s="134" t="e">
        <f>#REF!+#REF!+#REF!+#REF!</f>
        <v>#REF!</v>
      </c>
      <c r="N121" s="92"/>
      <c r="O121" s="92"/>
      <c r="P121" s="134" t="e">
        <f>#REF!+#REF!+#REF!+#REF!+#REF!</f>
        <v>#REF!</v>
      </c>
      <c r="Q121" s="92"/>
      <c r="R121" s="92"/>
      <c r="S121" s="92"/>
      <c r="T121" s="92"/>
      <c r="U121" s="134" t="e">
        <f>#REF!+#REF!</f>
        <v>#REF!</v>
      </c>
      <c r="V121" s="134" t="e">
        <f>#REF!+#REF!+#REF!+#REF!+#REF!+#REF!+#REF!+#REF!+#REF!</f>
        <v>#REF!</v>
      </c>
      <c r="W121" s="121" t="e">
        <f t="shared" si="7"/>
        <v>#REF!</v>
      </c>
    </row>
    <row r="122" spans="6:23" ht="13.5" hidden="1">
      <c r="F122" s="1"/>
      <c r="G122" s="1"/>
      <c r="L122" s="92" t="s">
        <v>56</v>
      </c>
      <c r="M122" s="135" t="e">
        <f>SUM(M113:M121)</f>
        <v>#REF!</v>
      </c>
      <c r="N122" s="121">
        <f>SUM(N113:N121)</f>
        <v>0</v>
      </c>
      <c r="O122" s="121">
        <f>SUM(O113:O121)</f>
        <v>0</v>
      </c>
      <c r="P122" s="121" t="e">
        <f>SUM(P113:P121)</f>
        <v>#REF!</v>
      </c>
      <c r="Q122" s="121">
        <f>SUM(Q113:Q121)</f>
        <v>0</v>
      </c>
      <c r="R122" s="121"/>
      <c r="S122" s="121"/>
      <c r="T122" s="121">
        <f>SUM(T113:T121)</f>
        <v>0</v>
      </c>
      <c r="U122" s="121" t="e">
        <f>SUM(U113:U121)</f>
        <v>#REF!</v>
      </c>
      <c r="V122" s="121" t="e">
        <f>SUM(V113:V121)</f>
        <v>#REF!</v>
      </c>
      <c r="W122" s="121" t="e">
        <f>SUM(W113:W121)</f>
        <v>#REF!</v>
      </c>
    </row>
    <row r="123" spans="2:7" ht="13.5" hidden="1">
      <c r="B123" s="1" t="s">
        <v>66</v>
      </c>
      <c r="E123" s="90" t="e">
        <f>#REF!+Q47+#REF!+#REF!+#REF!+#REF!+#REF!+#REF!+#REF!</f>
        <v>#REF!</v>
      </c>
      <c r="F123" s="1"/>
      <c r="G123" s="1"/>
    </row>
    <row r="124" spans="2:23" ht="13.5" hidden="1">
      <c r="B124" s="1" t="s">
        <v>67</v>
      </c>
      <c r="E124" s="90" t="e">
        <f>#REF!+C47+#REF!+#REF!+#REF!+#REF!+#REF!+#REF!+#REF!</f>
        <v>#REF!</v>
      </c>
      <c r="F124" s="1"/>
      <c r="G124" s="1"/>
      <c r="V124" s="1" t="s">
        <v>68</v>
      </c>
      <c r="W124" s="90" t="e">
        <f>#REF!+#REF!+#REF!+#REF!+#REF!+V66+#REF!+#REF!+#REF!</f>
        <v>#REF!</v>
      </c>
    </row>
    <row r="125" spans="13:20" ht="13.5">
      <c r="M125" s="90"/>
      <c r="T125" s="90"/>
    </row>
    <row r="178" ht="13.5">
      <c r="B178" s="90" t="e">
        <f>#REF!+C47+#REF!+#REF!+#REF!+#REF!+#REF!+#REF!+#REF!</f>
        <v>#REF!</v>
      </c>
    </row>
  </sheetData>
  <sheetProtection selectLockedCells="1" selectUnlockedCells="1"/>
  <mergeCells count="33">
    <mergeCell ref="A78:T78"/>
    <mergeCell ref="F93:H93"/>
    <mergeCell ref="M93:W93"/>
    <mergeCell ref="I101:I104"/>
    <mergeCell ref="M110:W110"/>
    <mergeCell ref="O17:O20"/>
    <mergeCell ref="P17:P20"/>
    <mergeCell ref="A22:A23"/>
    <mergeCell ref="B49:F49"/>
    <mergeCell ref="D50:H50"/>
    <mergeCell ref="E52:G52"/>
    <mergeCell ref="Q16:Q20"/>
    <mergeCell ref="R16:R20"/>
    <mergeCell ref="S16:S20"/>
    <mergeCell ref="H17:H20"/>
    <mergeCell ref="I17:I20"/>
    <mergeCell ref="J17:J20"/>
    <mergeCell ref="K17:K20"/>
    <mergeCell ref="L17:L20"/>
    <mergeCell ref="M17:M20"/>
    <mergeCell ref="N17:N20"/>
    <mergeCell ref="A16:A18"/>
    <mergeCell ref="D16:D20"/>
    <mergeCell ref="E16:E20"/>
    <mergeCell ref="F16:F20"/>
    <mergeCell ref="G16:G20"/>
    <mergeCell ref="J16:M16"/>
    <mergeCell ref="L7:Q7"/>
    <mergeCell ref="L8:Q8"/>
    <mergeCell ref="B10:J10"/>
    <mergeCell ref="B11:J11"/>
    <mergeCell ref="M11:N11"/>
    <mergeCell ref="B12:J12"/>
  </mergeCells>
  <printOptions horizontalCentered="1"/>
  <pageMargins left="0" right="0" top="0" bottom="0" header="0.5118055555555555" footer="0.5118055555555555"/>
  <pageSetup horizontalDpi="300" verticalDpi="300" orientation="landscape" paperSize="9" scale="60" r:id="rId1"/>
  <rowBreaks count="2" manualBreakCount="2">
    <brk id="66" max="255" man="1"/>
    <brk id="91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2021-12-22T06:35:47Z</dcterms:modified>
  <cp:category/>
  <cp:version/>
  <cp:contentType/>
  <cp:contentStatus/>
</cp:coreProperties>
</file>