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управління освіти з 01.12.202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<sst xmlns="http://schemas.openxmlformats.org/spreadsheetml/2006/main" count="65" uniqueCount="61">
  <si>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Додаток </t>
  </si>
  <si>
    <t>ПОГОДЖЕНО:</t>
  </si>
  <si>
    <t>ЗАТВЕРДЖУЮ:</t>
  </si>
  <si>
    <t>Рішення виконавчого комітету Покровської міської ради _____________№______</t>
  </si>
  <si>
    <t xml:space="preserve">Начальник управління освіти  Покровської міської ради 
 ____________ Ольга МАТВЄЄВА </t>
  </si>
  <si>
    <t>штат у кількості 57,25 штатні одиниці з місячним фондом шістсот п"ятдесят дві тисячі двісті двадцять грн. 97 коп.</t>
  </si>
  <si>
    <t xml:space="preserve">Штатний розпис </t>
  </si>
  <si>
    <t>(назва установи,організації)</t>
  </si>
  <si>
    <t>грн.</t>
  </si>
  <si>
    <t>№</t>
  </si>
  <si>
    <t>назва структурного</t>
  </si>
  <si>
    <t>кільк</t>
  </si>
  <si>
    <t>посадовий оклад,   грн.</t>
  </si>
  <si>
    <t>тарифний розряд</t>
  </si>
  <si>
    <t>Зарплата по окладам</t>
  </si>
  <si>
    <t>надбавки</t>
  </si>
  <si>
    <t>доплати</t>
  </si>
  <si>
    <t>ФЗП</t>
  </si>
  <si>
    <t>ФЗП з урахуванням мін. ЗП</t>
  </si>
  <si>
    <t>підрозділу та посада</t>
  </si>
  <si>
    <t>штат</t>
  </si>
  <si>
    <t>премія</t>
  </si>
  <si>
    <t>за класність-25%</t>
  </si>
  <si>
    <t>за використання в роботі дез.засобів(10%)</t>
  </si>
  <si>
    <t>за роботу в нічний час</t>
  </si>
  <si>
    <t>на</t>
  </si>
  <si>
    <t>на 2022</t>
  </si>
  <si>
    <t>посад</t>
  </si>
  <si>
    <t>місяць</t>
  </si>
  <si>
    <t>рік</t>
  </si>
  <si>
    <t>1. КЕРІВНИЦТВО</t>
  </si>
  <si>
    <t>Начальник управління освіти</t>
  </si>
  <si>
    <t>Заступник начальника управління освіти</t>
  </si>
  <si>
    <t>Всього</t>
  </si>
  <si>
    <t>2.УПРАВЛІННЯ ОСВІТИ</t>
  </si>
  <si>
    <t>Головний бухгалтер</t>
  </si>
  <si>
    <t>Заступник головного бухгалтера</t>
  </si>
  <si>
    <t>95% від 10р.</t>
  </si>
  <si>
    <t>Головний спеціаліст</t>
  </si>
  <si>
    <t>Провідний спеціаліст</t>
  </si>
  <si>
    <t>Провідний спеціаліст-юрисконсульт</t>
  </si>
  <si>
    <t>Старший інженер</t>
  </si>
  <si>
    <t>Інженер-будівельник</t>
  </si>
  <si>
    <t>Програміст</t>
  </si>
  <si>
    <t>Спеціал.1 категор</t>
  </si>
  <si>
    <t>Спеціал.2 категор</t>
  </si>
  <si>
    <t>Спеціаліст</t>
  </si>
  <si>
    <t>Завідувач господарством</t>
  </si>
  <si>
    <t>Секретар-друкарка</t>
  </si>
  <si>
    <t>Водій автотранспортних засобів</t>
  </si>
  <si>
    <t>Прибиральник служб.приміщень</t>
  </si>
  <si>
    <t>Сторож</t>
  </si>
  <si>
    <t>Опалювач(сезонний)</t>
  </si>
  <si>
    <t>11тар.розряд</t>
  </si>
  <si>
    <t>Калькулятор</t>
  </si>
  <si>
    <t>Експедитор</t>
  </si>
  <si>
    <t>ВСЬОГО по управлінню освіти</t>
  </si>
  <si>
    <t>РАЗОМ</t>
  </si>
  <si>
    <t>Головний бухгалтер  управління освіти</t>
  </si>
  <si>
    <t>Лілія МЕДВЕДЄВА</t>
  </si>
  <si>
    <t>працівників управління освіти виконавчого комітету Покровської міської  ради з 01.01.2022 до 28.02.2022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</si>
</sst>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 ;[Red]\-0.00\ "/>
    <numFmt numFmtId="165" formatCode="_(* #,##0.00_);_(* \(#,##0.00\);_(* \-??_);_(@_)"/>
    <numFmt numFmtId="166" formatCode="0.0"/>
  </numFmts>
  <fonts count="55">
    <font>
      <sz val="10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Bodoni MT Condensed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9" fontId="7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9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16" fillId="0" borderId="19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 horizontal="justify" vertical="center"/>
    </xf>
    <xf numFmtId="0" fontId="16" fillId="0" borderId="17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textRotation="90"/>
    </xf>
    <xf numFmtId="2" fontId="7" fillId="0" borderId="19" xfId="0" applyNumberFormat="1" applyFont="1" applyFill="1" applyBorder="1" applyAlignment="1">
      <alignment/>
    </xf>
    <xf numFmtId="2" fontId="15" fillId="0" borderId="19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justify" vertical="center" wrapText="1"/>
    </xf>
    <xf numFmtId="164" fontId="16" fillId="0" borderId="18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8" xfId="0" applyFont="1" applyFill="1" applyBorder="1" applyAlignment="1">
      <alignment horizontal="justify" vertical="center" wrapText="1"/>
    </xf>
    <xf numFmtId="2" fontId="15" fillId="0" borderId="18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33" borderId="19" xfId="0" applyFont="1" applyFill="1" applyBorder="1" applyAlignment="1">
      <alignment horizontal="justify" vertical="center" wrapText="1"/>
    </xf>
    <xf numFmtId="0" fontId="16" fillId="33" borderId="19" xfId="0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/>
    </xf>
    <xf numFmtId="1" fontId="14" fillId="33" borderId="18" xfId="0" applyNumberFormat="1" applyFont="1" applyFill="1" applyBorder="1" applyAlignment="1">
      <alignment horizontal="center" vertical="center"/>
    </xf>
    <xf numFmtId="2" fontId="15" fillId="33" borderId="18" xfId="0" applyNumberFormat="1" applyFont="1" applyFill="1" applyBorder="1" applyAlignment="1">
      <alignment/>
    </xf>
    <xf numFmtId="2" fontId="15" fillId="33" borderId="19" xfId="0" applyNumberFormat="1" applyFont="1" applyFill="1" applyBorder="1" applyAlignment="1">
      <alignment/>
    </xf>
    <xf numFmtId="2" fontId="7" fillId="33" borderId="19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9" fillId="0" borderId="19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center" wrapText="1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justify" vertical="center" textRotation="90" wrapText="1"/>
    </xf>
    <xf numFmtId="0" fontId="15" fillId="0" borderId="19" xfId="0" applyFont="1" applyFill="1" applyBorder="1" applyAlignment="1">
      <alignment horizontal="justify" vertical="center" textRotation="90" wrapText="1"/>
    </xf>
    <xf numFmtId="0" fontId="7" fillId="0" borderId="19" xfId="0" applyFont="1" applyFill="1" applyBorder="1" applyAlignment="1">
      <alignment horizontal="center" textRotation="90"/>
    </xf>
    <xf numFmtId="9" fontId="7" fillId="0" borderId="19" xfId="0" applyNumberFormat="1" applyFont="1" applyFill="1" applyBorder="1" applyAlignment="1">
      <alignment horizontal="center" textRotation="90"/>
    </xf>
    <xf numFmtId="9" fontId="7" fillId="0" borderId="19" xfId="0" applyNumberFormat="1" applyFont="1" applyFill="1" applyBorder="1" applyAlignment="1">
      <alignment horizontal="justify" vertical="center" textRotation="90"/>
    </xf>
    <xf numFmtId="0" fontId="17" fillId="0" borderId="19" xfId="0" applyFont="1" applyFill="1" applyBorder="1" applyAlignment="1">
      <alignment horizontal="justify" vertical="center" textRotation="90"/>
    </xf>
    <xf numFmtId="0" fontId="14" fillId="0" borderId="19" xfId="0" applyFont="1" applyFill="1" applyBorder="1" applyAlignment="1">
      <alignment horizontal="justify" vertical="center" textRotation="90"/>
    </xf>
    <xf numFmtId="0" fontId="7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55"/>
  <sheetViews>
    <sheetView tabSelected="1" view="pageBreakPreview" zoomScale="60" zoomScaleNormal="87" zoomScalePageLayoutView="0" workbookViewId="0" topLeftCell="A1">
      <selection activeCell="K24" sqref="K24"/>
    </sheetView>
  </sheetViews>
  <sheetFormatPr defaultColWidth="9.00390625" defaultRowHeight="12.75"/>
  <cols>
    <col min="1" max="1" width="3.50390625" style="1" customWidth="1"/>
    <col min="2" max="2" width="35.875" style="1" customWidth="1"/>
    <col min="3" max="3" width="6.50390625" style="1" customWidth="1"/>
    <col min="4" max="4" width="6.875" style="1" customWidth="1"/>
    <col min="5" max="5" width="9.375" style="1" customWidth="1"/>
    <col min="6" max="6" width="10.50390625" style="1" customWidth="1"/>
    <col min="7" max="7" width="6.00390625" style="1" hidden="1" customWidth="1"/>
    <col min="8" max="8" width="9.00390625" style="1" customWidth="1"/>
    <col min="9" max="9" width="6.00390625" style="1" customWidth="1"/>
    <col min="10" max="10" width="10.00390625" style="1" customWidth="1"/>
    <col min="11" max="11" width="10.50390625" style="1" customWidth="1"/>
    <col min="12" max="12" width="9.50390625" style="1" customWidth="1"/>
    <col min="13" max="13" width="12.125" style="1" customWidth="1"/>
    <col min="14" max="14" width="9.625" style="1" customWidth="1"/>
    <col min="15" max="15" width="0.37109375" style="1" hidden="1" customWidth="1"/>
    <col min="16" max="16" width="11.00390625" style="1" customWidth="1"/>
    <col min="17" max="17" width="9.50390625" style="1" customWidth="1"/>
    <col min="18" max="18" width="12.375" style="1" customWidth="1"/>
    <col min="19" max="19" width="12.375" style="1" hidden="1" customWidth="1"/>
    <col min="20" max="249" width="9.125" style="1" customWidth="1"/>
  </cols>
  <sheetData>
    <row r="1" s="2" customFormat="1" ht="4.5" customHeight="1">
      <c r="H1" s="3"/>
    </row>
    <row r="2" spans="1:19" s="2" customFormat="1" ht="15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7" t="s">
        <v>0</v>
      </c>
      <c r="N2" s="7"/>
      <c r="O2" s="7"/>
      <c r="P2" s="7"/>
      <c r="Q2" s="7"/>
      <c r="R2" s="7"/>
      <c r="S2" s="6"/>
    </row>
    <row r="3" spans="1:19" s="2" customFormat="1" ht="15">
      <c r="A3" s="4"/>
      <c r="B3" s="5" t="s">
        <v>1</v>
      </c>
      <c r="C3" s="5"/>
      <c r="D3" s="5"/>
      <c r="E3" s="5"/>
      <c r="F3" s="5"/>
      <c r="G3" s="5"/>
      <c r="H3" s="5"/>
      <c r="I3" s="5"/>
      <c r="J3" s="6"/>
      <c r="K3" s="6"/>
      <c r="L3" s="6"/>
      <c r="M3" s="7" t="s">
        <v>2</v>
      </c>
      <c r="N3" s="7"/>
      <c r="O3" s="7"/>
      <c r="P3" s="7"/>
      <c r="Q3" s="7"/>
      <c r="R3" s="7"/>
      <c r="S3" s="6"/>
    </row>
    <row r="4" spans="1:19" s="2" customFormat="1" ht="54" customHeight="1">
      <c r="A4" s="4"/>
      <c r="B4" s="8" t="s">
        <v>3</v>
      </c>
      <c r="C4" s="8"/>
      <c r="D4" s="8"/>
      <c r="E4" s="8"/>
      <c r="F4" s="8"/>
      <c r="G4" s="8"/>
      <c r="H4" s="8"/>
      <c r="I4" s="8"/>
      <c r="J4" s="8"/>
      <c r="K4" s="9"/>
      <c r="L4" s="9"/>
      <c r="M4" s="99" t="s">
        <v>4</v>
      </c>
      <c r="N4" s="99"/>
      <c r="O4" s="99"/>
      <c r="P4" s="99"/>
      <c r="Q4" s="99"/>
      <c r="R4" s="10"/>
      <c r="S4" s="11"/>
    </row>
    <row r="5" spans="1:19" s="2" customFormat="1" ht="54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0" t="s">
        <v>5</v>
      </c>
      <c r="N5" s="100"/>
      <c r="O5" s="100"/>
      <c r="P5" s="100"/>
      <c r="Q5" s="100"/>
      <c r="R5" s="100"/>
      <c r="S5" s="5"/>
    </row>
    <row r="6" spans="1:19" s="2" customFormat="1" ht="23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2"/>
      <c r="N6" s="13"/>
      <c r="O6" s="13"/>
      <c r="P6" s="13"/>
      <c r="Q6" s="13"/>
      <c r="R6" s="13"/>
      <c r="S6" s="5"/>
    </row>
    <row r="7" spans="1:19" s="2" customFormat="1" ht="21" customHeight="1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4"/>
      <c r="N7" s="15"/>
      <c r="O7" s="15"/>
      <c r="P7" s="15"/>
      <c r="Q7" s="15"/>
      <c r="R7" s="15"/>
      <c r="S7" s="5"/>
    </row>
    <row r="8" spans="1:19" s="2" customFormat="1" ht="26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2"/>
      <c r="N8" s="13"/>
      <c r="O8" s="13"/>
      <c r="P8" s="13"/>
      <c r="Q8" s="13"/>
      <c r="R8" s="13"/>
      <c r="S8" s="5"/>
    </row>
    <row r="9" spans="1:19" s="2" customFormat="1" ht="18">
      <c r="A9" s="4"/>
      <c r="B9" s="16"/>
      <c r="C9" s="101" t="s">
        <v>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7"/>
      <c r="S9" s="5"/>
    </row>
    <row r="10" spans="1:19" s="2" customFormat="1" ht="47.25" customHeight="1">
      <c r="A10" s="4"/>
      <c r="B10" s="18"/>
      <c r="C10" s="102" t="s">
        <v>60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9"/>
    </row>
    <row r="11" spans="1:19" s="2" customFormat="1" ht="15">
      <c r="A11" s="4"/>
      <c r="B11" s="103" t="s">
        <v>7</v>
      </c>
      <c r="C11" s="103"/>
      <c r="D11" s="103"/>
      <c r="E11" s="103"/>
      <c r="F11" s="103"/>
      <c r="G11" s="103"/>
      <c r="H11" s="103"/>
      <c r="I11" s="5"/>
      <c r="J11" s="21"/>
      <c r="K11" s="21"/>
      <c r="L11" s="21"/>
      <c r="M11" s="21"/>
      <c r="N11" s="21"/>
      <c r="O11" s="21"/>
      <c r="P11" s="21"/>
      <c r="Q11" s="21"/>
      <c r="R11" s="22"/>
      <c r="S11" s="19"/>
    </row>
    <row r="12" spans="1:19" s="2" customFormat="1" ht="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3" t="s">
        <v>8</v>
      </c>
    </row>
    <row r="13" spans="1:19" s="2" customFormat="1" ht="18.75" customHeight="1">
      <c r="A13" s="104" t="s">
        <v>9</v>
      </c>
      <c r="B13" s="24" t="s">
        <v>10</v>
      </c>
      <c r="C13" s="25" t="s">
        <v>11</v>
      </c>
      <c r="D13" s="105" t="s">
        <v>12</v>
      </c>
      <c r="E13" s="106" t="s">
        <v>13</v>
      </c>
      <c r="F13" s="107" t="s">
        <v>14</v>
      </c>
      <c r="G13" s="26"/>
      <c r="H13" s="108" t="s">
        <v>15</v>
      </c>
      <c r="I13" s="108"/>
      <c r="J13" s="108"/>
      <c r="K13" s="27"/>
      <c r="L13" s="28"/>
      <c r="M13" s="108" t="s">
        <v>16</v>
      </c>
      <c r="N13" s="108"/>
      <c r="O13" s="108"/>
      <c r="P13" s="24" t="s">
        <v>17</v>
      </c>
      <c r="Q13" s="109">
        <v>6500</v>
      </c>
      <c r="R13" s="110" t="s">
        <v>18</v>
      </c>
      <c r="S13" s="29" t="s">
        <v>17</v>
      </c>
    </row>
    <row r="14" spans="1:19" s="2" customFormat="1" ht="18" customHeight="1">
      <c r="A14" s="104"/>
      <c r="B14" s="30" t="s">
        <v>19</v>
      </c>
      <c r="C14" s="31" t="s">
        <v>20</v>
      </c>
      <c r="D14" s="105"/>
      <c r="E14" s="106"/>
      <c r="F14" s="107"/>
      <c r="G14" s="111"/>
      <c r="H14" s="111"/>
      <c r="I14" s="111"/>
      <c r="J14" s="112">
        <v>0.5</v>
      </c>
      <c r="K14" s="113" t="s">
        <v>21</v>
      </c>
      <c r="L14" s="113" t="s">
        <v>22</v>
      </c>
      <c r="M14" s="114" t="s">
        <v>23</v>
      </c>
      <c r="N14" s="115" t="s">
        <v>24</v>
      </c>
      <c r="O14" s="113"/>
      <c r="P14" s="30" t="s">
        <v>25</v>
      </c>
      <c r="Q14" s="109"/>
      <c r="R14" s="110"/>
      <c r="S14" s="32" t="s">
        <v>26</v>
      </c>
    </row>
    <row r="15" spans="1:19" s="2" customFormat="1" ht="15">
      <c r="A15" s="104"/>
      <c r="B15" s="30"/>
      <c r="C15" s="31" t="s">
        <v>27</v>
      </c>
      <c r="D15" s="105"/>
      <c r="E15" s="106"/>
      <c r="F15" s="107"/>
      <c r="G15" s="111"/>
      <c r="H15" s="111"/>
      <c r="I15" s="111"/>
      <c r="J15" s="111"/>
      <c r="K15" s="113"/>
      <c r="L15" s="113"/>
      <c r="M15" s="114"/>
      <c r="N15" s="115"/>
      <c r="O15" s="113"/>
      <c r="P15" s="33" t="s">
        <v>28</v>
      </c>
      <c r="Q15" s="109"/>
      <c r="R15" s="110"/>
      <c r="S15" s="32" t="s">
        <v>29</v>
      </c>
    </row>
    <row r="16" spans="1:19" s="2" customFormat="1" ht="15">
      <c r="A16" s="34"/>
      <c r="B16" s="30"/>
      <c r="C16" s="30"/>
      <c r="D16" s="105"/>
      <c r="E16" s="106"/>
      <c r="F16" s="107"/>
      <c r="G16" s="111"/>
      <c r="H16" s="111"/>
      <c r="I16" s="111"/>
      <c r="J16" s="111"/>
      <c r="K16" s="113"/>
      <c r="L16" s="113"/>
      <c r="M16" s="114"/>
      <c r="N16" s="115"/>
      <c r="O16" s="113"/>
      <c r="P16" s="33" t="s">
        <v>8</v>
      </c>
      <c r="Q16" s="109"/>
      <c r="R16" s="110"/>
      <c r="S16" s="32" t="s">
        <v>8</v>
      </c>
    </row>
    <row r="17" spans="1:19" s="2" customFormat="1" ht="45" customHeight="1">
      <c r="A17" s="35"/>
      <c r="B17" s="36"/>
      <c r="C17" s="36"/>
      <c r="D17" s="105"/>
      <c r="E17" s="106"/>
      <c r="F17" s="107"/>
      <c r="G17" s="111"/>
      <c r="H17" s="111"/>
      <c r="I17" s="111"/>
      <c r="J17" s="111"/>
      <c r="K17" s="113"/>
      <c r="L17" s="113"/>
      <c r="M17" s="114"/>
      <c r="N17" s="115"/>
      <c r="O17" s="113"/>
      <c r="P17" s="37"/>
      <c r="Q17" s="109"/>
      <c r="R17" s="110"/>
      <c r="S17" s="38"/>
    </row>
    <row r="18" spans="1:19" s="2" customFormat="1" ht="12" customHeight="1">
      <c r="A18" s="39"/>
      <c r="B18" s="116" t="s">
        <v>30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s="2" customFormat="1" ht="16.5" customHeight="1">
      <c r="A19" s="39">
        <v>1</v>
      </c>
      <c r="B19" s="36" t="s">
        <v>31</v>
      </c>
      <c r="C19" s="36">
        <v>1</v>
      </c>
      <c r="D19" s="40">
        <v>7500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41">
        <v>7500</v>
      </c>
      <c r="S19" s="38"/>
    </row>
    <row r="20" spans="1:19" s="2" customFormat="1" ht="33" customHeight="1">
      <c r="A20" s="39"/>
      <c r="B20" s="42" t="s">
        <v>32</v>
      </c>
      <c r="C20" s="36">
        <v>1</v>
      </c>
      <c r="D20" s="40">
        <v>7125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41">
        <v>7125</v>
      </c>
      <c r="S20" s="38"/>
    </row>
    <row r="21" spans="1:19" s="2" customFormat="1" ht="16.5" customHeight="1">
      <c r="A21" s="39"/>
      <c r="B21" s="42" t="s">
        <v>33</v>
      </c>
      <c r="C21" s="36">
        <v>2</v>
      </c>
      <c r="D21" s="40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41">
        <v>14625</v>
      </c>
      <c r="S21" s="38"/>
    </row>
    <row r="22" spans="1:19" s="2" customFormat="1" ht="16.5" customHeight="1">
      <c r="A22" s="39"/>
      <c r="B22" s="118" t="s">
        <v>34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41"/>
      <c r="S22" s="38"/>
    </row>
    <row r="23" spans="1:19" s="2" customFormat="1" ht="22.5" customHeight="1">
      <c r="A23" s="43">
        <v>1</v>
      </c>
      <c r="B23" s="44" t="s">
        <v>35</v>
      </c>
      <c r="C23" s="45">
        <v>1</v>
      </c>
      <c r="D23" s="46">
        <v>5265</v>
      </c>
      <c r="E23" s="47">
        <v>10</v>
      </c>
      <c r="F23" s="48">
        <f aca="true" t="shared" si="0" ref="F23:F50">D23*C23</f>
        <v>5265</v>
      </c>
      <c r="G23" s="48"/>
      <c r="H23" s="48"/>
      <c r="I23" s="48"/>
      <c r="J23" s="49">
        <f>D23*0.5</f>
        <v>2632.5</v>
      </c>
      <c r="K23" s="49">
        <f>(D23+J23)*150%</f>
        <v>11846.25</v>
      </c>
      <c r="L23" s="49"/>
      <c r="M23" s="48"/>
      <c r="N23" s="48"/>
      <c r="O23" s="48"/>
      <c r="P23" s="50">
        <f aca="true" t="shared" si="1" ref="P23:P50">F23+H23+I23+J23+K23+L23+M23+N23</f>
        <v>19743.75</v>
      </c>
      <c r="Q23" s="50"/>
      <c r="R23" s="50">
        <f aca="true" t="shared" si="2" ref="R23:R37">P23+Q23</f>
        <v>19743.75</v>
      </c>
      <c r="S23" s="50">
        <f aca="true" t="shared" si="3" ref="S23:S39">R23*9+R23*1.031*3+F23</f>
        <v>244026.16875</v>
      </c>
    </row>
    <row r="24" spans="1:19" s="2" customFormat="1" ht="23.25" customHeight="1">
      <c r="A24" s="51">
        <v>2</v>
      </c>
      <c r="B24" s="52" t="s">
        <v>36</v>
      </c>
      <c r="C24" s="53">
        <v>1</v>
      </c>
      <c r="D24" s="46">
        <f>D23*95%</f>
        <v>5001.75</v>
      </c>
      <c r="E24" s="54" t="s">
        <v>37</v>
      </c>
      <c r="F24" s="48">
        <f t="shared" si="0"/>
        <v>5001.75</v>
      </c>
      <c r="G24" s="55"/>
      <c r="H24" s="55"/>
      <c r="I24" s="55"/>
      <c r="J24" s="49">
        <f>D24*0.5</f>
        <v>2500.875</v>
      </c>
      <c r="K24" s="49">
        <f>(D24+J24)*120%</f>
        <v>9003.15</v>
      </c>
      <c r="L24" s="49"/>
      <c r="M24" s="55"/>
      <c r="N24" s="55"/>
      <c r="O24" s="55"/>
      <c r="P24" s="50">
        <f t="shared" si="1"/>
        <v>16505.775</v>
      </c>
      <c r="Q24" s="50"/>
      <c r="R24" s="50">
        <f t="shared" si="2"/>
        <v>16505.775</v>
      </c>
      <c r="S24" s="50">
        <f t="shared" si="3"/>
        <v>204606.087075</v>
      </c>
    </row>
    <row r="25" spans="1:19" s="2" customFormat="1" ht="21" customHeight="1">
      <c r="A25" s="51">
        <v>3</v>
      </c>
      <c r="B25" s="56" t="s">
        <v>38</v>
      </c>
      <c r="C25" s="57">
        <v>2</v>
      </c>
      <c r="D25" s="58">
        <v>5265</v>
      </c>
      <c r="E25" s="47">
        <v>10</v>
      </c>
      <c r="F25" s="48">
        <f t="shared" si="0"/>
        <v>10530</v>
      </c>
      <c r="G25" s="59"/>
      <c r="H25" s="59"/>
      <c r="I25" s="59"/>
      <c r="J25" s="49">
        <f>D25*C25*50%</f>
        <v>5265</v>
      </c>
      <c r="K25" s="49">
        <f>(D25*2+J25)*100%</f>
        <v>15795</v>
      </c>
      <c r="L25" s="49"/>
      <c r="M25" s="55"/>
      <c r="N25" s="55"/>
      <c r="O25" s="55"/>
      <c r="P25" s="50">
        <f t="shared" si="1"/>
        <v>31590</v>
      </c>
      <c r="Q25" s="50"/>
      <c r="R25" s="50">
        <f t="shared" si="2"/>
        <v>31590</v>
      </c>
      <c r="S25" s="50">
        <f t="shared" si="3"/>
        <v>392547.87</v>
      </c>
    </row>
    <row r="26" spans="1:19" s="2" customFormat="1" ht="21" customHeight="1">
      <c r="A26" s="51">
        <v>4</v>
      </c>
      <c r="B26" s="52" t="s">
        <v>39</v>
      </c>
      <c r="C26" s="53">
        <v>9</v>
      </c>
      <c r="D26" s="46">
        <v>5265</v>
      </c>
      <c r="E26" s="47">
        <v>10</v>
      </c>
      <c r="F26" s="48">
        <f t="shared" si="0"/>
        <v>47385</v>
      </c>
      <c r="G26" s="55"/>
      <c r="H26" s="55"/>
      <c r="I26" s="55"/>
      <c r="J26" s="49">
        <f>D26*C26*50%</f>
        <v>23692.5</v>
      </c>
      <c r="K26" s="49">
        <f>(D26*C26+J26)*100%</f>
        <v>71077.5</v>
      </c>
      <c r="L26" s="49"/>
      <c r="M26" s="55"/>
      <c r="N26" s="55"/>
      <c r="O26" s="55"/>
      <c r="P26" s="50">
        <f t="shared" si="1"/>
        <v>142155</v>
      </c>
      <c r="Q26" s="50"/>
      <c r="R26" s="50">
        <f t="shared" si="2"/>
        <v>142155</v>
      </c>
      <c r="S26" s="50">
        <f t="shared" si="3"/>
        <v>1766465.415</v>
      </c>
    </row>
    <row r="27" spans="1:19" s="2" customFormat="1" ht="21" customHeight="1">
      <c r="A27" s="51">
        <v>5</v>
      </c>
      <c r="B27" s="52" t="s">
        <v>40</v>
      </c>
      <c r="C27" s="53">
        <v>1</v>
      </c>
      <c r="D27" s="46">
        <v>5265</v>
      </c>
      <c r="E27" s="47">
        <v>10</v>
      </c>
      <c r="F27" s="48">
        <f t="shared" si="0"/>
        <v>5265</v>
      </c>
      <c r="G27" s="55"/>
      <c r="H27" s="55"/>
      <c r="I27" s="55"/>
      <c r="J27" s="49">
        <f>D27*C27*50%</f>
        <v>2632.5</v>
      </c>
      <c r="K27" s="49">
        <f>(D27*C27+J27)*100%</f>
        <v>7897.5</v>
      </c>
      <c r="L27" s="49"/>
      <c r="M27" s="55"/>
      <c r="N27" s="55"/>
      <c r="O27" s="55"/>
      <c r="P27" s="50">
        <f t="shared" si="1"/>
        <v>15795</v>
      </c>
      <c r="Q27" s="50"/>
      <c r="R27" s="50">
        <f t="shared" si="2"/>
        <v>15795</v>
      </c>
      <c r="S27" s="50">
        <f t="shared" si="3"/>
        <v>196273.935</v>
      </c>
    </row>
    <row r="28" spans="1:19" s="2" customFormat="1" ht="15">
      <c r="A28" s="51">
        <v>6</v>
      </c>
      <c r="B28" s="44" t="s">
        <v>41</v>
      </c>
      <c r="C28" s="45">
        <v>1</v>
      </c>
      <c r="D28" s="46">
        <v>5005</v>
      </c>
      <c r="E28" s="47">
        <v>9</v>
      </c>
      <c r="F28" s="48">
        <f t="shared" si="0"/>
        <v>5005</v>
      </c>
      <c r="G28" s="48"/>
      <c r="H28" s="48"/>
      <c r="I28" s="48"/>
      <c r="J28" s="49">
        <f>D28*50%</f>
        <v>2502.5</v>
      </c>
      <c r="K28" s="49">
        <f>(D28+J28)*100%</f>
        <v>7507.5</v>
      </c>
      <c r="L28" s="49"/>
      <c r="M28" s="48"/>
      <c r="N28" s="55"/>
      <c r="O28" s="55"/>
      <c r="P28" s="50">
        <f t="shared" si="1"/>
        <v>15015</v>
      </c>
      <c r="Q28" s="50"/>
      <c r="R28" s="50">
        <f t="shared" si="2"/>
        <v>15015</v>
      </c>
      <c r="S28" s="50">
        <f t="shared" si="3"/>
        <v>186581.395</v>
      </c>
    </row>
    <row r="29" spans="1:19" s="2" customFormat="1" ht="19.5" customHeight="1">
      <c r="A29" s="51">
        <v>7</v>
      </c>
      <c r="B29" s="52" t="s">
        <v>42</v>
      </c>
      <c r="C29" s="53">
        <v>1</v>
      </c>
      <c r="D29" s="46">
        <v>5005</v>
      </c>
      <c r="E29" s="47">
        <v>9</v>
      </c>
      <c r="F29" s="48">
        <f t="shared" si="0"/>
        <v>5005</v>
      </c>
      <c r="G29" s="55"/>
      <c r="H29" s="55"/>
      <c r="I29" s="55"/>
      <c r="J29" s="49">
        <f>D29*50%</f>
        <v>2502.5</v>
      </c>
      <c r="K29" s="49">
        <f>(D29+J29)*100%</f>
        <v>7507.5</v>
      </c>
      <c r="L29" s="49"/>
      <c r="M29" s="55"/>
      <c r="N29" s="55"/>
      <c r="O29" s="55"/>
      <c r="P29" s="50">
        <f t="shared" si="1"/>
        <v>15015</v>
      </c>
      <c r="Q29" s="50"/>
      <c r="R29" s="50">
        <f t="shared" si="2"/>
        <v>15015</v>
      </c>
      <c r="S29" s="50">
        <f t="shared" si="3"/>
        <v>186581.395</v>
      </c>
    </row>
    <row r="30" spans="1:19" s="2" customFormat="1" ht="15">
      <c r="A30" s="51">
        <v>8</v>
      </c>
      <c r="B30" s="55" t="s">
        <v>43</v>
      </c>
      <c r="C30" s="53">
        <v>1</v>
      </c>
      <c r="D30" s="46">
        <v>5005</v>
      </c>
      <c r="E30" s="47">
        <v>9</v>
      </c>
      <c r="F30" s="48">
        <f t="shared" si="0"/>
        <v>5005</v>
      </c>
      <c r="G30" s="55"/>
      <c r="H30" s="55"/>
      <c r="I30" s="55"/>
      <c r="J30" s="55">
        <f>D30*50%</f>
        <v>2502.5</v>
      </c>
      <c r="K30" s="60">
        <f>(D30+J30)*75%</f>
        <v>5630.625</v>
      </c>
      <c r="L30" s="60"/>
      <c r="M30" s="55"/>
      <c r="N30" s="55"/>
      <c r="O30" s="55"/>
      <c r="P30" s="50">
        <f t="shared" si="1"/>
        <v>13138.125</v>
      </c>
      <c r="Q30" s="50"/>
      <c r="R30" s="50">
        <f t="shared" si="2"/>
        <v>13138.125</v>
      </c>
      <c r="S30" s="50">
        <f t="shared" si="3"/>
        <v>163884.345625</v>
      </c>
    </row>
    <row r="31" spans="1:19" s="2" customFormat="1" ht="15">
      <c r="A31" s="51">
        <v>9</v>
      </c>
      <c r="B31" s="52" t="s">
        <v>44</v>
      </c>
      <c r="C31" s="53">
        <v>7</v>
      </c>
      <c r="D31" s="46">
        <v>5005</v>
      </c>
      <c r="E31" s="47">
        <v>9</v>
      </c>
      <c r="F31" s="48">
        <f t="shared" si="0"/>
        <v>35035</v>
      </c>
      <c r="G31" s="55"/>
      <c r="H31" s="55"/>
      <c r="I31" s="55"/>
      <c r="J31" s="61">
        <f>D31*C31*50%</f>
        <v>17517.5</v>
      </c>
      <c r="K31" s="49">
        <f>(D31*C31+J31)*75%</f>
        <v>39414.375</v>
      </c>
      <c r="L31" s="49"/>
      <c r="M31" s="55"/>
      <c r="N31" s="55"/>
      <c r="O31" s="55"/>
      <c r="P31" s="50">
        <f t="shared" si="1"/>
        <v>91966.875</v>
      </c>
      <c r="Q31" s="50"/>
      <c r="R31" s="50">
        <f t="shared" si="2"/>
        <v>91966.875</v>
      </c>
      <c r="S31" s="50">
        <f t="shared" si="3"/>
        <v>1147190.419375</v>
      </c>
    </row>
    <row r="32" spans="1:19" s="2" customFormat="1" ht="19.5" customHeight="1">
      <c r="A32" s="51">
        <v>10</v>
      </c>
      <c r="B32" s="52" t="s">
        <v>45</v>
      </c>
      <c r="C32" s="53">
        <v>4</v>
      </c>
      <c r="D32" s="46">
        <v>4745</v>
      </c>
      <c r="E32" s="47">
        <v>8</v>
      </c>
      <c r="F32" s="48">
        <f t="shared" si="0"/>
        <v>18980</v>
      </c>
      <c r="G32" s="55"/>
      <c r="H32" s="55"/>
      <c r="I32" s="55"/>
      <c r="J32" s="60">
        <f>D32*C32*50%</f>
        <v>9490</v>
      </c>
      <c r="K32" s="49">
        <f>(D32*C32+J32)*70%</f>
        <v>19929</v>
      </c>
      <c r="L32" s="49"/>
      <c r="M32" s="55"/>
      <c r="N32" s="55"/>
      <c r="O32" s="55"/>
      <c r="P32" s="50">
        <f t="shared" si="1"/>
        <v>48399</v>
      </c>
      <c r="Q32" s="50"/>
      <c r="R32" s="50">
        <f t="shared" si="2"/>
        <v>48399</v>
      </c>
      <c r="S32" s="50">
        <f t="shared" si="3"/>
        <v>604269.107</v>
      </c>
    </row>
    <row r="33" spans="1:19" s="2" customFormat="1" ht="19.5" customHeight="1">
      <c r="A33" s="51">
        <v>11</v>
      </c>
      <c r="B33" s="52" t="s">
        <v>46</v>
      </c>
      <c r="C33" s="53">
        <v>7</v>
      </c>
      <c r="D33" s="46">
        <v>4456</v>
      </c>
      <c r="E33" s="47">
        <v>7</v>
      </c>
      <c r="F33" s="48">
        <f t="shared" si="0"/>
        <v>31192</v>
      </c>
      <c r="G33" s="55"/>
      <c r="H33" s="55"/>
      <c r="I33" s="55"/>
      <c r="J33" s="60">
        <f>D33*C33*50%</f>
        <v>15596</v>
      </c>
      <c r="K33" s="49">
        <f>(D33*C33+J33)*70%</f>
        <v>32751.6</v>
      </c>
      <c r="L33" s="49"/>
      <c r="M33" s="55"/>
      <c r="N33" s="60"/>
      <c r="O33" s="55"/>
      <c r="P33" s="50">
        <f t="shared" si="1"/>
        <v>79539.6</v>
      </c>
      <c r="Q33" s="62"/>
      <c r="R33" s="50">
        <f t="shared" si="2"/>
        <v>79539.6</v>
      </c>
      <c r="S33" s="50">
        <f t="shared" si="3"/>
        <v>993064.3828</v>
      </c>
    </row>
    <row r="34" spans="1:19" s="2" customFormat="1" ht="22.5" customHeight="1">
      <c r="A34" s="51">
        <v>12</v>
      </c>
      <c r="B34" s="63" t="s">
        <v>47</v>
      </c>
      <c r="C34" s="53">
        <v>1</v>
      </c>
      <c r="D34" s="46">
        <v>4745</v>
      </c>
      <c r="E34" s="47">
        <v>8</v>
      </c>
      <c r="F34" s="48">
        <f t="shared" si="0"/>
        <v>4745</v>
      </c>
      <c r="G34" s="55"/>
      <c r="H34" s="55"/>
      <c r="I34" s="55"/>
      <c r="J34" s="60"/>
      <c r="K34" s="49"/>
      <c r="L34" s="49"/>
      <c r="M34" s="55"/>
      <c r="N34" s="60"/>
      <c r="O34" s="55"/>
      <c r="P34" s="50">
        <f t="shared" si="1"/>
        <v>4745</v>
      </c>
      <c r="Q34" s="64">
        <f>6500*C34-(P34-N34-M34)</f>
        <v>1755</v>
      </c>
      <c r="R34" s="50">
        <f t="shared" si="2"/>
        <v>6500</v>
      </c>
      <c r="S34" s="50">
        <f t="shared" si="3"/>
        <v>83349.5</v>
      </c>
    </row>
    <row r="35" spans="1:19" s="2" customFormat="1" ht="20.25" customHeight="1">
      <c r="A35" s="51">
        <v>13</v>
      </c>
      <c r="B35" s="52" t="s">
        <v>48</v>
      </c>
      <c r="C35" s="65">
        <v>1</v>
      </c>
      <c r="D35" s="66">
        <v>3934</v>
      </c>
      <c r="E35" s="47">
        <v>5</v>
      </c>
      <c r="F35" s="48">
        <f t="shared" si="0"/>
        <v>3934</v>
      </c>
      <c r="G35" s="55"/>
      <c r="H35" s="55"/>
      <c r="I35" s="55"/>
      <c r="J35" s="60">
        <f>D35*C35*50%</f>
        <v>1967</v>
      </c>
      <c r="K35" s="49">
        <f>(D35*C35+J35)*50%</f>
        <v>2950.5</v>
      </c>
      <c r="L35" s="49"/>
      <c r="M35" s="55"/>
      <c r="N35" s="55"/>
      <c r="O35" s="55"/>
      <c r="P35" s="50">
        <f t="shared" si="1"/>
        <v>8851.5</v>
      </c>
      <c r="Q35" s="64"/>
      <c r="R35" s="50">
        <f t="shared" si="2"/>
        <v>8851.5</v>
      </c>
      <c r="S35" s="50">
        <f t="shared" si="3"/>
        <v>110975.1895</v>
      </c>
    </row>
    <row r="36" spans="1:19" s="2" customFormat="1" ht="21.75" customHeight="1">
      <c r="A36" s="51">
        <v>14</v>
      </c>
      <c r="B36" s="52" t="s">
        <v>49</v>
      </c>
      <c r="C36" s="53">
        <v>1</v>
      </c>
      <c r="D36" s="46">
        <v>3414</v>
      </c>
      <c r="E36" s="47">
        <v>3</v>
      </c>
      <c r="F36" s="48">
        <f t="shared" si="0"/>
        <v>3414</v>
      </c>
      <c r="G36" s="55"/>
      <c r="H36" s="67"/>
      <c r="I36" s="55"/>
      <c r="J36" s="60">
        <f>D36*50%</f>
        <v>1707</v>
      </c>
      <c r="K36" s="49">
        <f>(D36*C36+J36+L36)*25%</f>
        <v>1493.625</v>
      </c>
      <c r="L36" s="60">
        <f>D36*C36*25%</f>
        <v>853.5</v>
      </c>
      <c r="M36" s="55"/>
      <c r="N36" s="48"/>
      <c r="O36" s="55"/>
      <c r="P36" s="50">
        <f t="shared" si="1"/>
        <v>7468.125</v>
      </c>
      <c r="Q36" s="64"/>
      <c r="R36" s="50">
        <f t="shared" si="2"/>
        <v>7468.125</v>
      </c>
      <c r="S36" s="50">
        <f t="shared" si="3"/>
        <v>93726.03562499999</v>
      </c>
    </row>
    <row r="37" spans="1:19" s="2" customFormat="1" ht="22.5" customHeight="1">
      <c r="A37" s="51">
        <v>15</v>
      </c>
      <c r="B37" s="52" t="s">
        <v>50</v>
      </c>
      <c r="C37" s="53">
        <v>1.25</v>
      </c>
      <c r="D37" s="46">
        <v>3153</v>
      </c>
      <c r="E37" s="47">
        <v>2</v>
      </c>
      <c r="F37" s="48">
        <f t="shared" si="0"/>
        <v>3941.25</v>
      </c>
      <c r="G37" s="55"/>
      <c r="H37" s="55"/>
      <c r="I37" s="55"/>
      <c r="J37" s="55"/>
      <c r="K37" s="55"/>
      <c r="L37" s="55"/>
      <c r="M37" s="60">
        <f>D37*10%*C37</f>
        <v>394.125</v>
      </c>
      <c r="N37" s="55"/>
      <c r="O37" s="55"/>
      <c r="P37" s="50">
        <f t="shared" si="1"/>
        <v>4335.375</v>
      </c>
      <c r="Q37" s="64">
        <f aca="true" t="shared" si="4" ref="Q37:Q48">6500*C37-(P37-N37-M37)</f>
        <v>4183.75</v>
      </c>
      <c r="R37" s="50">
        <f t="shared" si="2"/>
        <v>8519.125</v>
      </c>
      <c r="S37" s="50">
        <f t="shared" si="3"/>
        <v>106963.02862499999</v>
      </c>
    </row>
    <row r="38" spans="1:19" s="2" customFormat="1" ht="15" hidden="1">
      <c r="A38" s="51"/>
      <c r="B38" s="52"/>
      <c r="C38" s="53"/>
      <c r="D38" s="46"/>
      <c r="E38" s="47"/>
      <c r="F38" s="48">
        <f t="shared" si="0"/>
        <v>0</v>
      </c>
      <c r="G38" s="55"/>
      <c r="H38" s="55"/>
      <c r="I38" s="55"/>
      <c r="J38" s="55"/>
      <c r="K38" s="55"/>
      <c r="L38" s="55"/>
      <c r="M38" s="55"/>
      <c r="N38" s="55"/>
      <c r="O38" s="55"/>
      <c r="P38" s="50">
        <f t="shared" si="1"/>
        <v>0</v>
      </c>
      <c r="Q38" s="64">
        <f t="shared" si="4"/>
        <v>0</v>
      </c>
      <c r="R38" s="50"/>
      <c r="S38" s="50">
        <f t="shared" si="3"/>
        <v>0</v>
      </c>
    </row>
    <row r="39" spans="1:19" s="2" customFormat="1" ht="20.25" customHeight="1">
      <c r="A39" s="51">
        <v>16</v>
      </c>
      <c r="B39" s="52" t="s">
        <v>51</v>
      </c>
      <c r="C39" s="53">
        <v>6</v>
      </c>
      <c r="D39" s="46">
        <v>3153</v>
      </c>
      <c r="E39" s="47">
        <v>2</v>
      </c>
      <c r="F39" s="48">
        <f t="shared" si="0"/>
        <v>18918</v>
      </c>
      <c r="G39" s="68"/>
      <c r="H39" s="55"/>
      <c r="I39" s="55"/>
      <c r="J39" s="55"/>
      <c r="K39" s="55"/>
      <c r="L39" s="55"/>
      <c r="M39" s="55"/>
      <c r="N39" s="67">
        <f>D39*33%*C39</f>
        <v>6242.9400000000005</v>
      </c>
      <c r="O39" s="55"/>
      <c r="P39" s="50">
        <f t="shared" si="1"/>
        <v>25160.940000000002</v>
      </c>
      <c r="Q39" s="64">
        <f t="shared" si="4"/>
        <v>20082</v>
      </c>
      <c r="R39" s="50">
        <f aca="true" t="shared" si="5" ref="R39:R50">P39+Q39</f>
        <v>45242.94</v>
      </c>
      <c r="S39" s="50">
        <f t="shared" si="3"/>
        <v>566040.8734200001</v>
      </c>
    </row>
    <row r="40" spans="1:19" s="2" customFormat="1" ht="21.75" customHeight="1">
      <c r="A40" s="51">
        <v>17</v>
      </c>
      <c r="B40" s="52" t="s">
        <v>52</v>
      </c>
      <c r="C40" s="53">
        <v>4</v>
      </c>
      <c r="D40" s="46">
        <v>2893</v>
      </c>
      <c r="E40" s="47">
        <v>1</v>
      </c>
      <c r="F40" s="48">
        <f t="shared" si="0"/>
        <v>11572</v>
      </c>
      <c r="G40" s="55"/>
      <c r="H40" s="55"/>
      <c r="I40" s="55"/>
      <c r="J40" s="55"/>
      <c r="K40" s="60"/>
      <c r="L40" s="60"/>
      <c r="M40" s="55">
        <f>D40*C40*12%</f>
        <v>1388.6399999999999</v>
      </c>
      <c r="N40" s="69">
        <f>D40*C40*33%</f>
        <v>3818.76</v>
      </c>
      <c r="O40" s="55"/>
      <c r="P40" s="50">
        <f t="shared" si="1"/>
        <v>16779.4</v>
      </c>
      <c r="Q40" s="64">
        <f t="shared" si="4"/>
        <v>14427.999999999998</v>
      </c>
      <c r="R40" s="50">
        <f t="shared" si="5"/>
        <v>31207.4</v>
      </c>
      <c r="S40" s="50">
        <f>R40*3+R40*1.031*3+F40</f>
        <v>201718.6882</v>
      </c>
    </row>
    <row r="41" spans="1:19" s="2" customFormat="1" ht="50.25" customHeight="1" hidden="1">
      <c r="A41" s="43">
        <v>18</v>
      </c>
      <c r="B41" s="70"/>
      <c r="C41" s="45"/>
      <c r="D41" s="46"/>
      <c r="E41" s="47"/>
      <c r="F41" s="48">
        <f t="shared" si="0"/>
        <v>0</v>
      </c>
      <c r="G41" s="71"/>
      <c r="H41" s="71"/>
      <c r="I41" s="49"/>
      <c r="J41" s="49">
        <f>D41*C41*50%</f>
        <v>0</v>
      </c>
      <c r="K41" s="49">
        <f>(D41*C41+J41)*100%</f>
        <v>0</v>
      </c>
      <c r="L41" s="49"/>
      <c r="M41" s="49"/>
      <c r="N41" s="72"/>
      <c r="O41" s="50">
        <f aca="true" t="shared" si="6" ref="O41:O46">D41*C41+F41+H41+I41+J41+K41+L41+M41+N41</f>
        <v>0</v>
      </c>
      <c r="P41" s="50">
        <f t="shared" si="1"/>
        <v>0</v>
      </c>
      <c r="Q41" s="64">
        <f t="shared" si="4"/>
        <v>0</v>
      </c>
      <c r="R41" s="50">
        <f t="shared" si="5"/>
        <v>0</v>
      </c>
      <c r="S41" s="50">
        <f aca="true" t="shared" si="7" ref="S41:S50">R41*9+R41*1.031*3+F41</f>
        <v>0</v>
      </c>
    </row>
    <row r="42" spans="1:19" s="2" customFormat="1" ht="21" customHeight="1" hidden="1">
      <c r="A42" s="43"/>
      <c r="B42" s="55"/>
      <c r="C42" s="53"/>
      <c r="D42" s="46"/>
      <c r="E42" s="47" t="s">
        <v>53</v>
      </c>
      <c r="F42" s="48">
        <f t="shared" si="0"/>
        <v>0</v>
      </c>
      <c r="G42" s="71"/>
      <c r="H42" s="61"/>
      <c r="I42" s="60"/>
      <c r="J42" s="49">
        <f>D42*C42*50%</f>
        <v>0</v>
      </c>
      <c r="K42" s="49">
        <f>(D42*C42+J42)*100%</f>
        <v>0</v>
      </c>
      <c r="L42" s="60"/>
      <c r="M42" s="60"/>
      <c r="N42" s="60"/>
      <c r="O42" s="50">
        <f t="shared" si="6"/>
        <v>0</v>
      </c>
      <c r="P42" s="50">
        <f t="shared" si="1"/>
        <v>0</v>
      </c>
      <c r="Q42" s="64">
        <f t="shared" si="4"/>
        <v>0</v>
      </c>
      <c r="R42" s="50">
        <f t="shared" si="5"/>
        <v>0</v>
      </c>
      <c r="S42" s="50">
        <f t="shared" si="7"/>
        <v>0</v>
      </c>
    </row>
    <row r="43" spans="1:19" s="2" customFormat="1" ht="32.25" customHeight="1" hidden="1">
      <c r="A43" s="43">
        <v>19</v>
      </c>
      <c r="B43" s="73"/>
      <c r="C43" s="53"/>
      <c r="D43" s="46"/>
      <c r="E43" s="47">
        <v>9</v>
      </c>
      <c r="F43" s="48">
        <f t="shared" si="0"/>
        <v>0</v>
      </c>
      <c r="G43" s="71"/>
      <c r="H43" s="61"/>
      <c r="I43" s="60"/>
      <c r="J43" s="49">
        <f>D43*C43*50%</f>
        <v>0</v>
      </c>
      <c r="K43" s="49">
        <f>(D43*C43+J43)*100%</f>
        <v>0</v>
      </c>
      <c r="L43" s="60"/>
      <c r="M43" s="60"/>
      <c r="N43" s="60"/>
      <c r="O43" s="50">
        <f t="shared" si="6"/>
        <v>0</v>
      </c>
      <c r="P43" s="50">
        <f t="shared" si="1"/>
        <v>0</v>
      </c>
      <c r="Q43" s="64">
        <f t="shared" si="4"/>
        <v>0</v>
      </c>
      <c r="R43" s="50">
        <f t="shared" si="5"/>
        <v>0</v>
      </c>
      <c r="S43" s="50">
        <f t="shared" si="7"/>
        <v>0</v>
      </c>
    </row>
    <row r="44" spans="1:19" s="2" customFormat="1" ht="34.5" customHeight="1" hidden="1">
      <c r="A44" s="43"/>
      <c r="B44" s="73"/>
      <c r="C44" s="53"/>
      <c r="D44" s="46"/>
      <c r="E44" s="47"/>
      <c r="F44" s="48">
        <f t="shared" si="0"/>
        <v>0</v>
      </c>
      <c r="G44" s="71"/>
      <c r="H44" s="61"/>
      <c r="I44" s="60"/>
      <c r="J44" s="49">
        <f>D44*C44*50%</f>
        <v>0</v>
      </c>
      <c r="K44" s="49">
        <f>(D44*C44+J44)*100%</f>
        <v>0</v>
      </c>
      <c r="L44" s="60"/>
      <c r="M44" s="60"/>
      <c r="N44" s="60"/>
      <c r="O44" s="50">
        <f t="shared" si="6"/>
        <v>0</v>
      </c>
      <c r="P44" s="50">
        <f t="shared" si="1"/>
        <v>0</v>
      </c>
      <c r="Q44" s="64">
        <f t="shared" si="4"/>
        <v>0</v>
      </c>
      <c r="R44" s="50">
        <f t="shared" si="5"/>
        <v>0</v>
      </c>
      <c r="S44" s="50">
        <f t="shared" si="7"/>
        <v>0</v>
      </c>
    </row>
    <row r="45" spans="1:19" s="2" customFormat="1" ht="33.75" customHeight="1" hidden="1">
      <c r="A45" s="43"/>
      <c r="B45" s="73"/>
      <c r="C45" s="53"/>
      <c r="D45" s="46"/>
      <c r="E45" s="47"/>
      <c r="F45" s="48">
        <f t="shared" si="0"/>
        <v>0</v>
      </c>
      <c r="G45" s="71"/>
      <c r="H45" s="61"/>
      <c r="I45" s="60"/>
      <c r="J45" s="49"/>
      <c r="K45" s="49"/>
      <c r="L45" s="60"/>
      <c r="M45" s="60"/>
      <c r="N45" s="60"/>
      <c r="O45" s="50">
        <f t="shared" si="6"/>
        <v>0</v>
      </c>
      <c r="P45" s="50">
        <f t="shared" si="1"/>
        <v>0</v>
      </c>
      <c r="Q45" s="64">
        <f t="shared" si="4"/>
        <v>0</v>
      </c>
      <c r="R45" s="50">
        <f t="shared" si="5"/>
        <v>0</v>
      </c>
      <c r="S45" s="50">
        <f t="shared" si="7"/>
        <v>0</v>
      </c>
    </row>
    <row r="46" spans="1:19" s="2" customFormat="1" ht="32.25" customHeight="1" hidden="1">
      <c r="A46" s="43"/>
      <c r="B46" s="73"/>
      <c r="C46" s="53"/>
      <c r="D46" s="46"/>
      <c r="E46" s="47"/>
      <c r="F46" s="48">
        <f t="shared" si="0"/>
        <v>0</v>
      </c>
      <c r="G46" s="71"/>
      <c r="H46" s="61"/>
      <c r="I46" s="60"/>
      <c r="J46" s="49">
        <f>D46*C46*50%</f>
        <v>0</v>
      </c>
      <c r="K46" s="49">
        <f>(D46*C46+J46)*70%</f>
        <v>0</v>
      </c>
      <c r="L46" s="60"/>
      <c r="M46" s="60"/>
      <c r="N46" s="60"/>
      <c r="O46" s="50">
        <f t="shared" si="6"/>
        <v>0</v>
      </c>
      <c r="P46" s="50">
        <f t="shared" si="1"/>
        <v>0</v>
      </c>
      <c r="Q46" s="64">
        <f t="shared" si="4"/>
        <v>0</v>
      </c>
      <c r="R46" s="50">
        <f t="shared" si="5"/>
        <v>0</v>
      </c>
      <c r="S46" s="50">
        <f t="shared" si="7"/>
        <v>0</v>
      </c>
    </row>
    <row r="47" spans="1:19" s="2" customFormat="1" ht="32.25" customHeight="1" hidden="1">
      <c r="A47" s="43">
        <v>5</v>
      </c>
      <c r="B47" s="74" t="s">
        <v>46</v>
      </c>
      <c r="C47" s="75"/>
      <c r="D47" s="76"/>
      <c r="E47" s="77"/>
      <c r="F47" s="48">
        <f t="shared" si="0"/>
        <v>0</v>
      </c>
      <c r="G47" s="78"/>
      <c r="H47" s="79"/>
      <c r="I47" s="80"/>
      <c r="J47" s="49">
        <f>D47*C47*50%</f>
        <v>0</v>
      </c>
      <c r="K47" s="49">
        <f>(D47*C47+J47)*70%</f>
        <v>0</v>
      </c>
      <c r="L47" s="80"/>
      <c r="M47" s="80"/>
      <c r="N47" s="80"/>
      <c r="O47" s="81"/>
      <c r="P47" s="50">
        <f t="shared" si="1"/>
        <v>0</v>
      </c>
      <c r="Q47" s="64">
        <f t="shared" si="4"/>
        <v>0</v>
      </c>
      <c r="R47" s="50">
        <f t="shared" si="5"/>
        <v>0</v>
      </c>
      <c r="S47" s="50">
        <f t="shared" si="7"/>
        <v>0</v>
      </c>
    </row>
    <row r="48" spans="1:19" s="2" customFormat="1" ht="32.25" customHeight="1" hidden="1">
      <c r="A48" s="43">
        <v>21</v>
      </c>
      <c r="B48" s="73"/>
      <c r="C48" s="53"/>
      <c r="D48" s="46"/>
      <c r="E48" s="47">
        <v>5</v>
      </c>
      <c r="F48" s="48">
        <f t="shared" si="0"/>
        <v>0</v>
      </c>
      <c r="G48" s="71"/>
      <c r="H48" s="61"/>
      <c r="I48" s="60"/>
      <c r="J48" s="49">
        <f>D48*C48*50%</f>
        <v>0</v>
      </c>
      <c r="K48" s="49">
        <f>(D48*C48+J48)*70%</f>
        <v>0</v>
      </c>
      <c r="L48" s="60"/>
      <c r="M48" s="60"/>
      <c r="N48" s="60"/>
      <c r="O48" s="50">
        <f>D48*C48+F48+H48+I48+J48+K48+L48+M48+N48</f>
        <v>0</v>
      </c>
      <c r="P48" s="50">
        <f t="shared" si="1"/>
        <v>0</v>
      </c>
      <c r="Q48" s="64">
        <f t="shared" si="4"/>
        <v>0</v>
      </c>
      <c r="R48" s="50">
        <f t="shared" si="5"/>
        <v>0</v>
      </c>
      <c r="S48" s="50">
        <f t="shared" si="7"/>
        <v>0</v>
      </c>
    </row>
    <row r="49" spans="1:19" s="2" customFormat="1" ht="21.75" customHeight="1">
      <c r="A49" s="43">
        <v>18</v>
      </c>
      <c r="B49" s="73" t="s">
        <v>54</v>
      </c>
      <c r="C49" s="53">
        <v>5</v>
      </c>
      <c r="D49" s="46">
        <v>3674</v>
      </c>
      <c r="E49" s="47">
        <v>4</v>
      </c>
      <c r="F49" s="48">
        <f t="shared" si="0"/>
        <v>18370</v>
      </c>
      <c r="G49" s="71"/>
      <c r="H49" s="61"/>
      <c r="I49" s="60"/>
      <c r="J49" s="49">
        <f>D49*C49*50%</f>
        <v>9185</v>
      </c>
      <c r="K49" s="49">
        <f>(D49*C49+J49)*25%</f>
        <v>6888.75</v>
      </c>
      <c r="L49" s="60"/>
      <c r="M49" s="60"/>
      <c r="N49" s="60"/>
      <c r="O49" s="50">
        <f>D49*C49+F49+H49+I49+J49+K49+L49+M49+N49</f>
        <v>52813.75</v>
      </c>
      <c r="P49" s="50">
        <f t="shared" si="1"/>
        <v>34443.75</v>
      </c>
      <c r="Q49" s="64"/>
      <c r="R49" s="50">
        <f t="shared" si="5"/>
        <v>34443.75</v>
      </c>
      <c r="S49" s="50">
        <f t="shared" si="7"/>
        <v>434898.26875</v>
      </c>
    </row>
    <row r="50" spans="1:19" s="2" customFormat="1" ht="15">
      <c r="A50" s="51">
        <v>19</v>
      </c>
      <c r="B50" s="55" t="s">
        <v>55</v>
      </c>
      <c r="C50" s="53">
        <v>1</v>
      </c>
      <c r="D50" s="55">
        <v>3934</v>
      </c>
      <c r="E50" s="51">
        <v>5</v>
      </c>
      <c r="F50" s="48">
        <f t="shared" si="0"/>
        <v>3934</v>
      </c>
      <c r="G50" s="55"/>
      <c r="H50" s="55"/>
      <c r="I50" s="55"/>
      <c r="J50" s="55">
        <f>D50*50%</f>
        <v>1967</v>
      </c>
      <c r="K50" s="55"/>
      <c r="L50" s="55"/>
      <c r="M50" s="55"/>
      <c r="N50" s="67"/>
      <c r="O50" s="55"/>
      <c r="P50" s="50">
        <f t="shared" si="1"/>
        <v>5901</v>
      </c>
      <c r="Q50" s="64">
        <f>6500*C50-(P50-N50-M50)</f>
        <v>599</v>
      </c>
      <c r="R50" s="50">
        <f t="shared" si="5"/>
        <v>6500</v>
      </c>
      <c r="S50" s="50">
        <f t="shared" si="7"/>
        <v>82538.5</v>
      </c>
    </row>
    <row r="51" spans="1:20" s="2" customFormat="1" ht="19.5" customHeight="1">
      <c r="A51" s="82"/>
      <c r="B51" s="55" t="s">
        <v>56</v>
      </c>
      <c r="C51" s="67">
        <f>C23+C24+C25+C26+C27+C28+C29+C30+C31+C32+C33+C34+C35+C36+C37+C39+C40+C49+C50</f>
        <v>55.25</v>
      </c>
      <c r="D51" s="83">
        <f>D23+D24+D25*C25+D26*C26+D27*C27+D28*C28+D29*C29+D30*C30+D31*C31+D32*C32+D33*C33+D34+D35+D36+D37*C37+D39*C39+D40*C40+D41+D43+D45*C45+D48+D49*C49+D50</f>
        <v>242497</v>
      </c>
      <c r="E51" s="84"/>
      <c r="F51" s="67">
        <f>SUM(F23:F50)</f>
        <v>242497</v>
      </c>
      <c r="G51" s="67"/>
      <c r="H51" s="67">
        <f aca="true" t="shared" si="8" ref="H51:N51">SUM(H23:H50)</f>
        <v>0</v>
      </c>
      <c r="I51" s="67">
        <f t="shared" si="8"/>
        <v>0</v>
      </c>
      <c r="J51" s="67">
        <f t="shared" si="8"/>
        <v>101660.375</v>
      </c>
      <c r="K51" s="67">
        <f t="shared" si="8"/>
        <v>239692.875</v>
      </c>
      <c r="L51" s="67">
        <f t="shared" si="8"/>
        <v>853.5</v>
      </c>
      <c r="M51" s="67">
        <f t="shared" si="8"/>
        <v>1782.7649999999999</v>
      </c>
      <c r="N51" s="67">
        <f t="shared" si="8"/>
        <v>10061.7</v>
      </c>
      <c r="O51" s="67"/>
      <c r="P51" s="67">
        <f>SUM(P23:P50)</f>
        <v>596548.215</v>
      </c>
      <c r="Q51" s="67">
        <f>SUM(Q23:Q50)</f>
        <v>41047.75</v>
      </c>
      <c r="R51" s="67">
        <f>SUM(R23:R50)</f>
        <v>637595.965</v>
      </c>
      <c r="S51" s="67">
        <f>SUM(S23:S50)</f>
        <v>7765700.604745</v>
      </c>
      <c r="T51" s="85"/>
    </row>
    <row r="52" spans="1:19" s="2" customFormat="1" ht="18">
      <c r="A52" s="82"/>
      <c r="B52" s="86" t="s">
        <v>57</v>
      </c>
      <c r="C52" s="55">
        <v>57.25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60"/>
      <c r="Q52" s="60"/>
      <c r="R52" s="60">
        <f>R51+R21</f>
        <v>652220.965</v>
      </c>
      <c r="S52" s="87"/>
    </row>
    <row r="53" spans="1:19" s="2" customFormat="1" ht="15.75" customHeight="1">
      <c r="A53" s="8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20" s="2" customFormat="1" ht="15">
      <c r="A54" s="89"/>
      <c r="B54" s="90"/>
      <c r="C54" s="90"/>
      <c r="D54"/>
      <c r="E54" s="91"/>
      <c r="F54" s="92"/>
      <c r="G54" s="93"/>
      <c r="H54" s="93"/>
      <c r="I54" s="93"/>
      <c r="J54" s="93"/>
      <c r="K54" s="93"/>
      <c r="L54" s="93"/>
      <c r="M54" s="93"/>
      <c r="N54" s="94"/>
      <c r="O54" s="94"/>
      <c r="P54"/>
      <c r="Q54" s="94"/>
      <c r="R54" s="94"/>
      <c r="S54" s="94"/>
      <c r="T54" s="95"/>
    </row>
    <row r="55" spans="1:19" s="2" customFormat="1" ht="15">
      <c r="A55" s="96"/>
      <c r="B55" s="20" t="s">
        <v>58</v>
      </c>
      <c r="C55" s="97"/>
      <c r="D55" s="97"/>
      <c r="E55" s="97"/>
      <c r="F55" s="97"/>
      <c r="G55" s="97"/>
      <c r="H55" s="97"/>
      <c r="I55" s="97"/>
      <c r="J55" s="97"/>
      <c r="K55" s="93" t="s">
        <v>59</v>
      </c>
      <c r="L55" s="97"/>
      <c r="M55" s="97"/>
      <c r="N55" s="97"/>
      <c r="O55" s="97"/>
      <c r="P55" s="97"/>
      <c r="Q55" s="97"/>
      <c r="R55" s="97"/>
      <c r="S55" s="97"/>
    </row>
    <row r="56" s="98" customFormat="1" ht="12.75"/>
  </sheetData>
  <sheetProtection selectLockedCells="1" selectUnlockedCells="1"/>
  <mergeCells count="27">
    <mergeCell ref="B22:Q22"/>
    <mergeCell ref="N14:N17"/>
    <mergeCell ref="O14:O17"/>
    <mergeCell ref="B18:S18"/>
    <mergeCell ref="E19:Q19"/>
    <mergeCell ref="E20:Q20"/>
    <mergeCell ref="E21:Q21"/>
    <mergeCell ref="M13:O13"/>
    <mergeCell ref="Q13:Q17"/>
    <mergeCell ref="R13:R17"/>
    <mergeCell ref="G14:G17"/>
    <mergeCell ref="H14:H17"/>
    <mergeCell ref="I14:I17"/>
    <mergeCell ref="J14:J17"/>
    <mergeCell ref="K14:K17"/>
    <mergeCell ref="L14:L17"/>
    <mergeCell ref="M14:M17"/>
    <mergeCell ref="M4:Q4"/>
    <mergeCell ref="M5:R5"/>
    <mergeCell ref="C9:Q9"/>
    <mergeCell ref="C10:R10"/>
    <mergeCell ref="B11:H11"/>
    <mergeCell ref="A13:A15"/>
    <mergeCell ref="D13:D17"/>
    <mergeCell ref="E13:E17"/>
    <mergeCell ref="F13:F17"/>
    <mergeCell ref="H13:J13"/>
  </mergeCells>
  <printOptions horizontalCentered="1"/>
  <pageMargins left="1.18125" right="0.39375" top="0.39375" bottom="0.39375" header="0.5118055555555555" footer="0.511805555555555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2021-12-21T13:50:07Z</cp:lastPrinted>
  <dcterms:modified xsi:type="dcterms:W3CDTF">2021-12-21T13:50:16Z</dcterms:modified>
  <cp:category/>
  <cp:version/>
  <cp:contentType/>
  <cp:contentStatus/>
</cp:coreProperties>
</file>